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6885" activeTab="0"/>
  </bookViews>
  <sheets>
    <sheet name="L1" sheetId="1" r:id="rId1"/>
    <sheet name="L2" sheetId="2" r:id="rId2"/>
    <sheet name="L3" sheetId="3" r:id="rId3"/>
    <sheet name="L4" sheetId="4" r:id="rId4"/>
    <sheet name="L5" sheetId="5" r:id="rId5"/>
    <sheet name="L6" sheetId="6" r:id="rId6"/>
    <sheet name="L7" sheetId="7" r:id="rId7"/>
    <sheet name="L10" sheetId="8" r:id="rId8"/>
    <sheet name="L11" sheetId="9" r:id="rId9"/>
    <sheet name="L15" sheetId="10" r:id="rId10"/>
    <sheet name="L16" sheetId="11" r:id="rId11"/>
    <sheet name="L17" sheetId="12" r:id="rId12"/>
    <sheet name="L22 Persistency Ratio" sheetId="13" r:id="rId13"/>
    <sheet name="L24" sheetId="14" r:id="rId14"/>
    <sheet name="L25" sheetId="15" r:id="rId15"/>
    <sheet name="L32" sheetId="16" r:id="rId16"/>
    <sheet name="L33" sheetId="17" r:id="rId17"/>
    <sheet name="L36" sheetId="18" r:id="rId18"/>
    <sheet name="L37FPI" sheetId="19" r:id="rId19"/>
    <sheet name="L37Lives" sheetId="20" r:id="rId20"/>
    <sheet name="L38 FPI" sheetId="21" r:id="rId21"/>
    <sheet name="L38 NOP" sheetId="22" r:id="rId22"/>
  </sheets>
  <definedNames/>
  <calcPr fullCalcOnLoad="1"/>
</workbook>
</file>

<file path=xl/sharedStrings.xml><?xml version="1.0" encoding="utf-8"?>
<sst xmlns="http://schemas.openxmlformats.org/spreadsheetml/2006/main" count="2532" uniqueCount="584">
  <si>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</si>
  <si>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</si>
  <si>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</si>
  <si>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</si>
  <si>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</si>
  <si>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</si>
  <si>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</si>
  <si>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</si>
  <si>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</si>
  <si>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</si>
  <si>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</si>
  <si>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</si>
  <si>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</si>
  <si>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</si>
  <si>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</si>
  <si>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</si>
  <si>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</si>
  <si>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</si>
  <si>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</si>
  <si>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</si>
  <si>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</si>
  <si>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</si>
  <si>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</si>
  <si>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</si>
  <si>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</si>
  <si>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</si>
  <si>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</si>
  <si>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</si>
  <si>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</si>
  <si>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</si>
  <si>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</si>
  <si>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</si>
  <si>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</si>
  <si>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</si>
  <si>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</si>
  <si>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</si>
  <si>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</si>
  <si>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</si>
  <si>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</si>
  <si>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</si>
  <si>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</si>
  <si>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</si>
  <si>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</si>
  <si>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</si>
  <si>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</si>
  <si>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</si>
  <si>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</si>
  <si>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</si>
  <si>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</si>
  <si>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</si>
  <si>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</si>
  <si>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</si>
  <si>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</si>
  <si>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</si>
  <si>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</si>
  <si>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</si>
  <si>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</si>
  <si>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</si>
  <si>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</si>
  <si>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(in 000)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</si>
  <si>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</si>
  <si>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</si>
  <si>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</si>
  <si>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</si>
  <si>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</si>
  <si>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</si>
  <si>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</si>
  <si>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</si>
  <si>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</si>
  <si>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</si>
  <si>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</si>
  <si>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</si>
  <si>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</si>
  <si>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</si>
  <si>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</si>
  <si>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>(Amount in '000)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</si>
  <si>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</si>
  <si>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</si>
  <si>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</si>
  <si>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</si>
  <si>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</si>
  <si>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</si>
  <si>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</si>
  <si>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</si>
  <si>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</si>
  <si>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</si>
  <si>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</si>
  <si>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</si>
  <si>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</si>
  <si>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</si>
  <si>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</si>
  <si>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</si>
  <si>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</si>
  <si>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</si>
  <si>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</si>
  <si>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</si>
  <si>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</si>
  <si>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</si>
  <si>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</si>
  <si>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</si>
  <si>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</si>
  <si>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</si>
  <si>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</si>
  <si>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</si>
  <si>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</si>
  <si>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</si>
  <si>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</si>
  <si>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</si>
  <si>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</si>
  <si>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</si>
  <si>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t>L-32:SOLVENCY MARGIN</t>
  </si>
  <si>
    <t>Description</t>
  </si>
  <si>
    <t>Available Assets in Policyholders' Fund:</t>
  </si>
  <si>
    <t>Deduct:</t>
  </si>
  <si>
    <t xml:space="preserve">Mathematical Reserves </t>
  </si>
  <si>
    <t xml:space="preserve">Other Liabilities </t>
  </si>
  <si>
    <t xml:space="preserve">Available Assets in Shareholders Fund: </t>
  </si>
  <si>
    <t>Other Liabilities of shareholders' fund</t>
  </si>
  <si>
    <t>Total ASM (04)+(07)</t>
  </si>
  <si>
    <t>Total RSM</t>
  </si>
  <si>
    <t>Solvency Ratio (ASM/RSM)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</si>
  <si>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</si>
  <si>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</si>
  <si>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</si>
  <si>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</si>
  <si>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</si>
  <si>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</si>
  <si>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</si>
  <si>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</si>
  <si>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</si>
  <si>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</si>
  <si>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</si>
  <si>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</si>
  <si>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</si>
  <si>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</si>
  <si>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</si>
  <si>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</si>
  <si>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</si>
  <si>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</si>
  <si>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</si>
  <si>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</si>
  <si>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</si>
  <si>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</si>
  <si>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</si>
  <si>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</si>
  <si>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</si>
  <si>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</si>
  <si>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</si>
  <si>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</si>
  <si>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</si>
  <si>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</si>
  <si>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</si>
  <si>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</si>
  <si>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</si>
  <si>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Loans</t>
  </si>
  <si>
    <t>Cash and bank balances</t>
  </si>
  <si>
    <t>L2:PROFIT &amp; LOSS ACCOUNT</t>
  </si>
  <si>
    <t>Figures in '000'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</si>
  <si>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</si>
  <si>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</si>
  <si>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</si>
  <si>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</si>
  <si>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</si>
  <si>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</si>
  <si>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</si>
  <si>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</si>
  <si>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</si>
  <si>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</si>
  <si>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</si>
  <si>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</si>
  <si>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</si>
  <si>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</si>
  <si>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</si>
  <si>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</si>
  <si>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</si>
  <si>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</si>
  <si>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</si>
  <si>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</si>
  <si>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</si>
  <si>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</si>
  <si>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</si>
  <si>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</si>
  <si>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</si>
  <si>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</si>
  <si>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</si>
  <si>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>Bonds / Debentures</t>
  </si>
  <si>
    <t>Other Debt instruments</t>
  </si>
  <si>
    <t>All Other Assets</t>
  </si>
  <si>
    <t>T0TAL</t>
  </si>
  <si>
    <t>Investments Assets  (As per Form 5)</t>
  </si>
  <si>
    <t>Gross NPA</t>
  </si>
  <si>
    <t>Provision made on NPA</t>
  </si>
  <si>
    <t>Provision on Standard Assets</t>
  </si>
  <si>
    <t>Write off made during the period</t>
  </si>
  <si>
    <t>SBI Life Insurance Company Limited (In Crore)</t>
  </si>
  <si>
    <t>Shriram Life Insurance Company Limited  (In Crore)</t>
  </si>
  <si>
    <t>Star Union Dai-ichi Life Insurance Company Limited  (In Crore)</t>
  </si>
  <si>
    <t>Reliance Nippon Life Insurance Company Limited  (In Crore)</t>
  </si>
  <si>
    <t>PNB MetLife India Insurance Company Limited  (In Crore)</t>
  </si>
  <si>
    <t>Max Life Insurance Company Limited (In Crore)</t>
  </si>
  <si>
    <t>Kotak Mahindra Life Insurance Company Limited   (In Crore)</t>
  </si>
  <si>
    <t>ICICI Prudential Life Insurance Company Limited  (In Crore)</t>
  </si>
  <si>
    <t>Future Generali India Life Insurance Company Limited  (In Crore)</t>
  </si>
  <si>
    <t>Canara HSBC Oriental Bank of Commerce Life Insurance Company Limited (In Crore)</t>
  </si>
  <si>
    <t>Bharti AXA Life Insurance Private Limited  (In Crore)</t>
  </si>
  <si>
    <t>Bajaj Allianz Life Insurance Company Limited  (In Crore)</t>
  </si>
  <si>
    <t>Aditya Birla Sun Life Insurance Company Limited (In Crore)</t>
  </si>
  <si>
    <t xml:space="preserve">% of Gross NPA on Investment Assets </t>
  </si>
  <si>
    <t>Provision as a % of NPA</t>
  </si>
  <si>
    <t xml:space="preserve">Net Investment Assets </t>
  </si>
  <si>
    <t xml:space="preserve">Net NPA </t>
  </si>
  <si>
    <t xml:space="preserve">% of Net NPA to Net Investment Assets </t>
  </si>
  <si>
    <t>L33 :Details of Non Performing Assets (Life Fund)</t>
  </si>
  <si>
    <t xml:space="preserve">Edelweiss Tokio Life Insurance Company Limited </t>
  </si>
  <si>
    <t>Figure in '000'</t>
  </si>
  <si>
    <t xml:space="preserve"> Cost / Gross Block </t>
  </si>
  <si>
    <t xml:space="preserve"> Depreciation / Amortisation </t>
  </si>
  <si>
    <t>Net Block</t>
  </si>
  <si>
    <t>Goodwill</t>
  </si>
  <si>
    <t xml:space="preserve">Intangibles - software </t>
  </si>
  <si>
    <t>Land-freehold</t>
  </si>
  <si>
    <t>Leasehold property</t>
  </si>
  <si>
    <t xml:space="preserve">Building on freehold land </t>
  </si>
  <si>
    <t>Building on leasehold land</t>
  </si>
  <si>
    <t>Furniture &amp; fittings</t>
  </si>
  <si>
    <t>Information technology equipment</t>
  </si>
  <si>
    <t>Vehicles</t>
  </si>
  <si>
    <t>Office equipment</t>
  </si>
  <si>
    <t>Leasehold improvements</t>
  </si>
  <si>
    <t>Servers &amp; Networks</t>
  </si>
  <si>
    <t>Electrical fittings</t>
  </si>
  <si>
    <t>Air Conditioner</t>
  </si>
  <si>
    <t>Mobile Phones &amp; Tablets/communication network</t>
  </si>
  <si>
    <t>Capital Work in Progress and Capital Advances</t>
  </si>
  <si>
    <t xml:space="preserve"># Includes certain asset leased pursuant to operating lease agreements </t>
  </si>
  <si>
    <t xml:space="preserve">Excess in  Policyholders' funds </t>
  </si>
  <si>
    <t xml:space="preserve">Excess in Shareholders' funds </t>
  </si>
  <si>
    <t>online</t>
  </si>
  <si>
    <t>Previous period ended March,2018</t>
  </si>
  <si>
    <t>Cash (including cheques,drafts and stamps)</t>
  </si>
  <si>
    <t>Bank balances</t>
  </si>
  <si>
    <t xml:space="preserve">          (a) Deposit accounts</t>
  </si>
  <si>
    <t xml:space="preserve">               (aa) Short-term (due within 12 months of the date of Balance Sheet)</t>
  </si>
  <si>
    <t xml:space="preserve">               (bb) Others</t>
  </si>
  <si>
    <t xml:space="preserve">          (b) Current accounts*</t>
  </si>
  <si>
    <t xml:space="preserve">          (c) Others</t>
  </si>
  <si>
    <t xml:space="preserve">          (d) Unclaimed Dividend Accounts </t>
  </si>
  <si>
    <t>Money at call and short notice</t>
  </si>
  <si>
    <t xml:space="preserve">          (a) With banks</t>
  </si>
  <si>
    <t xml:space="preserve">          (b) With other institutions</t>
  </si>
  <si>
    <t xml:space="preserve"> Total</t>
  </si>
  <si>
    <t>Balances with non-scheduled banks included above</t>
  </si>
  <si>
    <t xml:space="preserve">   Total</t>
  </si>
  <si>
    <t>Break-up of cash ( including cheques , drafts and stamps) :</t>
  </si>
  <si>
    <t>Cash in hand</t>
  </si>
  <si>
    <t>Postal franking &amp; Revenue Stamps</t>
  </si>
  <si>
    <t>Cheques in hand</t>
  </si>
  <si>
    <t>Form L-17-Cash and Bank Balance Schedule (` in '000)</t>
  </si>
  <si>
    <t>(c) Others-Provision</t>
  </si>
  <si>
    <t>Form L-15-Loans Schedule  (` in '000)</t>
  </si>
  <si>
    <t>SECURITY WISE CLASSIFICATION</t>
  </si>
  <si>
    <t>Secured</t>
  </si>
  <si>
    <t>(a)   On mortgage of property</t>
  </si>
  <si>
    <t xml:space="preserve">          (aa)   In India</t>
  </si>
  <si>
    <t xml:space="preserve">          (bb)  Outside India</t>
  </si>
  <si>
    <t>(b)  On Shares, Bonds, Govt Securities etc</t>
  </si>
  <si>
    <t>(c)  Loans against policies</t>
  </si>
  <si>
    <t>(d)  Others</t>
  </si>
  <si>
    <t>Unsecured</t>
  </si>
  <si>
    <t>BORROWER - WISE CLASSIFICATION</t>
  </si>
  <si>
    <t>(a)  Central and State Governments</t>
  </si>
  <si>
    <t>(b)  Banks and Financial institutions</t>
  </si>
  <si>
    <t>(c )  Subsidiaries</t>
  </si>
  <si>
    <t>(d)  Companies</t>
  </si>
  <si>
    <t>(e)   Loans against policies</t>
  </si>
  <si>
    <t>(f)   Others</t>
  </si>
  <si>
    <t>PERFORMANCE - WISE CLASSIFICATION</t>
  </si>
  <si>
    <t>(a)  Loans classified as standard</t>
  </si>
  <si>
    <t xml:space="preserve">        (aa)  In India</t>
  </si>
  <si>
    <t xml:space="preserve">        (bb) Outside India</t>
  </si>
  <si>
    <t>(b)  Non - standard loans less provisions</t>
  </si>
  <si>
    <t xml:space="preserve">        (bb)  Outside India</t>
  </si>
  <si>
    <t>MATURITY - WISE CLASSIFICATION</t>
  </si>
  <si>
    <t>(a)  Short Term</t>
  </si>
  <si>
    <t>(b)  Long Term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</si>
  <si>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</si>
  <si>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</si>
  <si>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</si>
  <si>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</si>
  <si>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</si>
  <si>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</si>
  <si>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</si>
  <si>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</si>
  <si>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</si>
  <si>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</si>
  <si>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</si>
  <si>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</si>
  <si>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</si>
  <si>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</si>
  <si>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</si>
  <si>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</si>
  <si>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</si>
  <si>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</si>
  <si>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</si>
  <si>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</si>
  <si>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</si>
  <si>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</si>
  <si>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</si>
  <si>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</si>
  <si>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</si>
  <si>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</si>
  <si>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</si>
  <si>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</si>
  <si>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</si>
  <si>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</si>
  <si>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</si>
  <si>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</si>
  <si>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</si>
  <si>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</si>
  <si>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</si>
  <si>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</si>
  <si>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</si>
  <si>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</si>
  <si>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</si>
  <si>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</si>
  <si>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</si>
  <si>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</si>
  <si>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Total (D)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</si>
  <si>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</si>
  <si>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</si>
  <si>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</si>
  <si>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</si>
  <si>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AS at 31.03.2019</t>
  </si>
  <si>
    <t>Linked</t>
  </si>
  <si>
    <t>a) Life</t>
  </si>
  <si>
    <t>b) General Annuity</t>
  </si>
  <si>
    <t>c) Pension</t>
  </si>
  <si>
    <t>d) Health</t>
  </si>
  <si>
    <t>Non-Linked</t>
  </si>
  <si>
    <t>e) Par</t>
  </si>
  <si>
    <t>f) Funds for discontinued policies</t>
  </si>
  <si>
    <t>Non Par Variable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</si>
  <si>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</si>
  <si>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</si>
  <si>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</si>
  <si>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</si>
  <si>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</si>
  <si>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</si>
  <si>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</si>
  <si>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</si>
  <si>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</si>
  <si>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</si>
  <si>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</si>
  <si>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</si>
  <si>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</si>
  <si>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Form L-10-Reserves and Surplus Schedule(Amount in '000)</t>
  </si>
  <si>
    <t>Form L-11 -Borrowings Schedule  (Amount in '000)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</si>
  <si>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</si>
  <si>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</si>
  <si>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</si>
  <si>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L1:REVENUE ACCOUNT Figures in '000'</t>
  </si>
  <si>
    <r>
      <rPr>
        <b/>
        <sz val="9"/>
        <color indexed="62"/>
        <rFont val="Comic Sans MS"/>
        <family val="4"/>
      </rPr>
      <t>Total</t>
    </r>
    <r>
      <rPr>
        <sz val="9"/>
        <color indexed="62"/>
        <rFont val="Comic Sans MS"/>
        <family val="4"/>
      </rPr>
      <t xml:space="preserve"> </t>
    </r>
    <r>
      <rPr>
        <b/>
        <sz val="9"/>
        <color indexed="62"/>
        <rFont val="Comic Sans MS"/>
        <family val="4"/>
      </rPr>
      <t>(B)</t>
    </r>
  </si>
  <si>
    <r>
      <rPr>
        <b/>
        <sz val="9"/>
        <color indexed="62"/>
        <rFont val="Comic Sans MS"/>
        <family val="4"/>
      </rPr>
      <t>Total</t>
    </r>
    <r>
      <rPr>
        <sz val="9"/>
        <color indexed="62"/>
        <rFont val="Comic Sans MS"/>
        <family val="4"/>
      </rPr>
      <t xml:space="preserve"> </t>
    </r>
    <r>
      <rPr>
        <b/>
        <sz val="9"/>
        <color indexed="62"/>
        <rFont val="Comic Sans MS"/>
        <family val="4"/>
      </rPr>
      <t>(A)</t>
    </r>
  </si>
  <si>
    <t>(g) Appreciation in unclaimed balances</t>
  </si>
  <si>
    <t>-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</si>
  <si>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</si>
  <si>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</si>
  <si>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</si>
  <si>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</si>
  <si>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</si>
  <si>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>Provision for Doubtful Debts</t>
  </si>
  <si>
    <t>Provision for Non Standard Loans</t>
  </si>
  <si>
    <t>Provision for Standard Loans</t>
  </si>
  <si>
    <t xml:space="preserve">        Outside India</t>
  </si>
  <si>
    <t xml:space="preserve">        In India</t>
  </si>
  <si>
    <t>Provision for Short Term</t>
  </si>
  <si>
    <t>Provision for Long Term</t>
  </si>
  <si>
    <t>Upto Q4 2020</t>
  </si>
  <si>
    <t>Upto Q4 1920</t>
  </si>
  <si>
    <t>AS at 31.03.2020</t>
  </si>
  <si>
    <t>As at 31st March,2020</t>
  </si>
  <si>
    <t>Adjusted Value March 2020</t>
  </si>
  <si>
    <t>Net Commission including rewards (A+B)</t>
  </si>
  <si>
    <t>Net commission (A)</t>
  </si>
  <si>
    <t>Rewards and/or remuneration to agents, brokers or other intermediaries (B)</t>
  </si>
  <si>
    <t>L25 :Geographical Representation of Life Insurance Business</t>
  </si>
  <si>
    <t xml:space="preserve">Aditya Birla Sun Life Insurance Company Limited </t>
  </si>
  <si>
    <t xml:space="preserve">Bajaj Allianz Life Insurance Company Limited  </t>
  </si>
  <si>
    <t xml:space="preserve">Bharti AXA Life Insurance Private Limited  </t>
  </si>
  <si>
    <t xml:space="preserve">Canara HSBC Oriental Bank of Commerce Life Insurance Company Limited </t>
  </si>
  <si>
    <t xml:space="preserve">Exide life Insurance Company Limited  </t>
  </si>
  <si>
    <t xml:space="preserve">HDFC Life Insurance Company Limited   </t>
  </si>
  <si>
    <t xml:space="preserve">PNB MetLife India Insurance Company Limited </t>
  </si>
  <si>
    <t xml:space="preserve">Shriram Life Insurance Company Limited </t>
  </si>
  <si>
    <t>Life Industry Total</t>
  </si>
  <si>
    <t>No. of Policies</t>
  </si>
  <si>
    <t xml:space="preserve">No. of Lives </t>
  </si>
  <si>
    <t xml:space="preserve">Premium (` in Crores)     </t>
  </si>
  <si>
    <t xml:space="preserve">Premium   (`in Crores)     </t>
  </si>
  <si>
    <t>First year Premium</t>
  </si>
  <si>
    <t>Aditya Birla Sun Life Insurance Company Limited (Lakhs)</t>
  </si>
  <si>
    <t>Aegon Life Insurance Company Limited (Lakhs)</t>
  </si>
  <si>
    <t>Aviva Life Insurance Company India Private Limited (Lakhs)</t>
  </si>
  <si>
    <t>Bajaj Allianz Life Insurance Company Limited (Lakhs)</t>
  </si>
  <si>
    <t>Bharti AXA Life Insurance Private Limited (Crores)</t>
  </si>
  <si>
    <t>Canara HSBC Oriental Bank of Commerce Life Insurance Company Limited (lakhs)</t>
  </si>
  <si>
    <t>Edelweiss Tokio Life Insurance Company Limited (Crores)</t>
  </si>
  <si>
    <t>Exide life Insurance Company Limited (Lakhs)</t>
  </si>
  <si>
    <t>Future Generali India Life Insurance Company Limited (Lakhs)</t>
  </si>
  <si>
    <t>HDFC Life Insurance Company Limited (Lakhs)</t>
  </si>
  <si>
    <t>ICICI Prudential Life Insurance Company Limited (Lakhs)</t>
  </si>
  <si>
    <t>IndiaFirst Life Insurance Company Limited (Lakhs)</t>
  </si>
  <si>
    <t>Kotak Mahindra Life Insurance Company Limited (Lakhs)</t>
  </si>
  <si>
    <t>Max Life Insurance Company Limited (Crores)</t>
  </si>
  <si>
    <t>PNB MetLife India Insurance Company Limited (Lakhs)</t>
  </si>
  <si>
    <t>Reliance Nippon Life Insurance Company Limited (Lakhs)</t>
  </si>
  <si>
    <t>SBI Life Insurance Company Limited (Crores)</t>
  </si>
  <si>
    <t>Shriram Life Insurance Company Limited (Lakhs)</t>
  </si>
  <si>
    <t>Star Union Dai-ichi Life Insurance Company Limited (Lakhs)</t>
  </si>
  <si>
    <t>Tata AIA Life Insurance Company Limited (Lakhs)</t>
  </si>
  <si>
    <t xml:space="preserve"> Premium </t>
  </si>
  <si>
    <t xml:space="preserve"> No. of Lives </t>
  </si>
  <si>
    <t>Sum Assured,Whereever Applicable</t>
  </si>
  <si>
    <t>i) Individual Single Premium- (ISP)</t>
  </si>
  <si>
    <t>From 0-10000</t>
  </si>
  <si>
    <t>From 10,000-25,000</t>
  </si>
  <si>
    <t>From 25001-50,000</t>
  </si>
  <si>
    <t>From 50,001- 75,000</t>
  </si>
  <si>
    <t>From  75,000-100,000</t>
  </si>
  <si>
    <t>From 1,00,001 -1,25,000</t>
  </si>
  <si>
    <t>Above Rs. 1,25,000</t>
  </si>
  <si>
    <t>ii) Individual Single Premium (ISPA)- Annuity</t>
  </si>
  <si>
    <t>From 0-50000</t>
  </si>
  <si>
    <t>From 50,001-100,000</t>
  </si>
  <si>
    <t>From 1,00,001-150,000</t>
  </si>
  <si>
    <t>From 150,001- 2,00,000</t>
  </si>
  <si>
    <t>From  2,00,,001-250,000</t>
  </si>
  <si>
    <t>From 2,50,001 -3,00,000</t>
  </si>
  <si>
    <t>Above Rs. 3,00,000</t>
  </si>
  <si>
    <t>iii) Group Single Premium (GSP)</t>
  </si>
  <si>
    <t>iv) Group Single Premium- Annuity- GSPA</t>
  </si>
  <si>
    <t>v) Individual non Single Premium- INSP</t>
  </si>
  <si>
    <t>vi) Individual non Single Premium- Annuity- INSPA</t>
  </si>
  <si>
    <t>vii) Group Non Single Premium (GNSP)</t>
  </si>
  <si>
    <t>viii) Group Non Single Premium- Annuity- GNSPA</t>
  </si>
  <si>
    <t>Aviva Life Insurance Company India Limited (Registration Code: 0122)</t>
  </si>
  <si>
    <t>Pramerica Life Insurance Company Limited</t>
  </si>
  <si>
    <t xml:space="preserve">Pramerica Life Insurance Company Limited  </t>
  </si>
  <si>
    <t>Pramerica Life Insurance Company Limited  (In Crore)</t>
  </si>
  <si>
    <t xml:space="preserve"> Pramerica Life Insurance Company Limited (Lakhs)</t>
  </si>
  <si>
    <t>L3-Balance Sheet</t>
  </si>
  <si>
    <t xml:space="preserve">Aegon Life Insurance Company Limited </t>
  </si>
  <si>
    <t xml:space="preserve">Bharti AXA Life Insurance Private Limited </t>
  </si>
  <si>
    <t xml:space="preserve">Exide life Insurance Company Limited </t>
  </si>
  <si>
    <t xml:space="preserve">Future Generali India Life Insurance Company Limited </t>
  </si>
  <si>
    <t xml:space="preserve">HDFC Life Insurance Company Limited </t>
  </si>
  <si>
    <t xml:space="preserve">ICICI Prudential Life Insurance Company Limited </t>
  </si>
  <si>
    <t xml:space="preserve">Star Union Dai-ichi Life Insurance Company Limited </t>
  </si>
  <si>
    <t>SOURCES OF FUNDS</t>
  </si>
  <si>
    <t>Shareholders' Funds</t>
  </si>
  <si>
    <r>
      <t xml:space="preserve">Share Capital </t>
    </r>
    <r>
      <rPr>
        <b/>
        <sz val="8"/>
        <color indexed="8"/>
        <rFont val="Comic Sans MS"/>
        <family val="4"/>
      </rPr>
      <t>L8</t>
    </r>
  </si>
  <si>
    <t>Share Application Money pending Allotment</t>
  </si>
  <si>
    <r>
      <t>Reserves And Surplus</t>
    </r>
    <r>
      <rPr>
        <b/>
        <sz val="8"/>
        <color indexed="8"/>
        <rFont val="Comic Sans MS"/>
        <family val="4"/>
      </rPr>
      <t xml:space="preserve"> L10</t>
    </r>
  </si>
  <si>
    <t>Credit/(Debit) Fair Value Change Account (Net)</t>
  </si>
  <si>
    <t>Deferred tax liability</t>
  </si>
  <si>
    <t>Sub-Total</t>
  </si>
  <si>
    <r>
      <t xml:space="preserve">Borrowings </t>
    </r>
    <r>
      <rPr>
        <b/>
        <sz val="8"/>
        <color indexed="8"/>
        <rFont val="Comic Sans MS"/>
        <family val="4"/>
      </rPr>
      <t>L11</t>
    </r>
  </si>
  <si>
    <t>Policyholders' Funds:</t>
  </si>
  <si>
    <t>Revaluation Reserve-Investment Property</t>
  </si>
  <si>
    <t>Non Unit Mathematical reserve</t>
  </si>
  <si>
    <t>Policy Liabilities</t>
  </si>
  <si>
    <t>Surplus on Policy Holder's  A/c</t>
  </si>
  <si>
    <t>Non Linked</t>
  </si>
  <si>
    <t>Insurance Reserves</t>
  </si>
  <si>
    <t>Linked Liabilities</t>
  </si>
  <si>
    <t>Fair value change</t>
  </si>
  <si>
    <t>Provision For Linked Liabilities</t>
  </si>
  <si>
    <t>Credit/(Debit) Fair Value Change A/c (Linked)Change Account (Net)</t>
  </si>
  <si>
    <t>Non Linked Liabilities</t>
  </si>
  <si>
    <t>Funds for Discontinued Policies</t>
  </si>
  <si>
    <t xml:space="preserve">   Discontinued on account of non-payment of premium</t>
  </si>
  <si>
    <t xml:space="preserve">   Others</t>
  </si>
  <si>
    <t>Credit/(Debit) Fair Value Change Account (Linked)</t>
  </si>
  <si>
    <t>Total Linked Liabilities</t>
  </si>
  <si>
    <t>Funds For Future Appropriations</t>
  </si>
  <si>
    <t>TOTAL</t>
  </si>
  <si>
    <t>APPLICATION OF FUNDS</t>
  </si>
  <si>
    <t>Investments</t>
  </si>
  <si>
    <r>
      <t xml:space="preserve">Shareholders' </t>
    </r>
    <r>
      <rPr>
        <b/>
        <sz val="8"/>
        <color indexed="8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L12</t>
    </r>
  </si>
  <si>
    <r>
      <t xml:space="preserve">Policyholders'  </t>
    </r>
    <r>
      <rPr>
        <b/>
        <sz val="8"/>
        <color indexed="30"/>
        <rFont val="Comic Sans MS"/>
        <family val="4"/>
      </rPr>
      <t>L13</t>
    </r>
  </si>
  <si>
    <r>
      <t>Assets Held To Cover Linked Liabilities</t>
    </r>
    <r>
      <rPr>
        <sz val="8"/>
        <color indexed="30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L14</t>
    </r>
  </si>
  <si>
    <t>Assets held to cover discontinued funds</t>
  </si>
  <si>
    <r>
      <t>Loans</t>
    </r>
    <r>
      <rPr>
        <b/>
        <sz val="8"/>
        <color indexed="8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L15</t>
    </r>
  </si>
  <si>
    <r>
      <t xml:space="preserve">Fixed Assets </t>
    </r>
    <r>
      <rPr>
        <b/>
        <sz val="8"/>
        <color indexed="30"/>
        <rFont val="Comic Sans MS"/>
        <family val="4"/>
      </rPr>
      <t>L 16</t>
    </r>
  </si>
  <si>
    <t>Current Assets</t>
  </si>
  <si>
    <t>Deferred Tax Assets</t>
  </si>
  <si>
    <r>
      <t xml:space="preserve">Cash and Bank Balances </t>
    </r>
    <r>
      <rPr>
        <b/>
        <sz val="8"/>
        <color indexed="30"/>
        <rFont val="Comic Sans MS"/>
        <family val="4"/>
      </rPr>
      <t>L17</t>
    </r>
  </si>
  <si>
    <r>
      <t>Advances And Other Assets</t>
    </r>
    <r>
      <rPr>
        <b/>
        <sz val="8"/>
        <color indexed="30"/>
        <rFont val="Comic Sans MS"/>
        <family val="4"/>
      </rPr>
      <t xml:space="preserve"> L18</t>
    </r>
  </si>
  <si>
    <t>Sub-Total (A)</t>
  </si>
  <si>
    <r>
      <t xml:space="preserve">Current Liabilities </t>
    </r>
    <r>
      <rPr>
        <b/>
        <sz val="8"/>
        <color indexed="30"/>
        <rFont val="Comic Sans MS"/>
        <family val="4"/>
      </rPr>
      <t>L19</t>
    </r>
  </si>
  <si>
    <r>
      <t xml:space="preserve">Provisions </t>
    </r>
    <r>
      <rPr>
        <b/>
        <sz val="8"/>
        <color indexed="30"/>
        <rFont val="Comic Sans MS"/>
        <family val="4"/>
      </rPr>
      <t>L20</t>
    </r>
  </si>
  <si>
    <r>
      <t xml:space="preserve">Sub-Total </t>
    </r>
    <r>
      <rPr>
        <b/>
        <sz val="8"/>
        <color indexed="30"/>
        <rFont val="Comic Sans MS"/>
        <family val="4"/>
      </rPr>
      <t>(B)</t>
    </r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</si>
  <si>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</si>
  <si>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</si>
  <si>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</si>
  <si>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</si>
  <si>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</si>
  <si>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</si>
  <si>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</si>
  <si>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</si>
  <si>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</si>
  <si>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</si>
  <si>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 xml:space="preserve">Statutory demands/ liabilities in dispute, not provided for </t>
  </si>
  <si>
    <t>Reinsurance obligations to the extent not provided for in accounts</t>
  </si>
  <si>
    <t>In relation to Claims against policies</t>
  </si>
  <si>
    <t>(c) Provision for non-standard assests</t>
  </si>
  <si>
    <t xml:space="preserve">Future Generali India Life Insurance Company Limited Upto  </t>
  </si>
  <si>
    <t>Provision for current tax</t>
  </si>
  <si>
    <r>
      <rPr>
        <b/>
        <sz val="9"/>
        <rFont val="Comic Sans MS"/>
        <family val="4"/>
      </rPr>
      <t>Profit / (Loss) after tax</t>
    </r>
  </si>
  <si>
    <t>.-Current Tax</t>
  </si>
  <si>
    <t>Upto Q4 2021</t>
  </si>
  <si>
    <t>AS at 31.03.2021</t>
  </si>
  <si>
    <t>Audited as at 31st March 2021</t>
  </si>
  <si>
    <t>As at 31st March,2021</t>
  </si>
  <si>
    <r>
      <t xml:space="preserve">L-16: - Fixed Assets Schedules </t>
    </r>
    <r>
      <rPr>
        <b/>
        <sz val="10"/>
        <color indexed="8"/>
        <rFont val="Comic Sans MS"/>
        <family val="4"/>
      </rPr>
      <t>(As at 31.03.2021)</t>
    </r>
  </si>
  <si>
    <t>FORM L-24  Valuation of net liabiltiies</t>
  </si>
  <si>
    <t>Ageas Federal Life Insurance Company Limited</t>
  </si>
  <si>
    <t>Audited as at 31st March 2020</t>
  </si>
  <si>
    <t xml:space="preserve">Ageas Federal Life Insurance Company Limited </t>
  </si>
  <si>
    <t>Aegas Federal Life Insurance Company Limited</t>
  </si>
  <si>
    <t>FORM L-36 :Premium and number of lives covered by policy type As on 31st March 2021</t>
  </si>
  <si>
    <t>(g) Debenture redemption reserve</t>
  </si>
  <si>
    <t>Ageas Federal Life Insurance Company Limited Nothing</t>
  </si>
  <si>
    <t>Adjusted Value March 2021</t>
  </si>
  <si>
    <t>Adjusted Value March 2020/2021 In Lakhs</t>
  </si>
  <si>
    <t>Interest Accrued Written Off</t>
  </si>
  <si>
    <t>Individual</t>
  </si>
  <si>
    <t>Group</t>
  </si>
  <si>
    <t>Rural</t>
  </si>
  <si>
    <t>Urban</t>
  </si>
  <si>
    <t>Parameter</t>
  </si>
  <si>
    <t>SBI Life Insurance Company Limited (In Lakh)</t>
  </si>
  <si>
    <t>Reliance Nippon Life Insurance Company Limited  (In Lakh)</t>
  </si>
  <si>
    <t>IndiaFirst Life Insurance Company Limited in  (In Lakh)</t>
  </si>
  <si>
    <t>ICICI Prudential Life Insurance Company Limited  (In Lakh)</t>
  </si>
  <si>
    <t>HDFC Life Insurance Company Limited   (In Lakh)</t>
  </si>
  <si>
    <t>Exide life Insurance Company Limited  (In Lakh)</t>
  </si>
  <si>
    <t>Edelweiss Tokio Life Insurance Company Limited (Lakh)</t>
  </si>
  <si>
    <t>Ageas Federal Life Insurance Company Limited (Crores)</t>
  </si>
  <si>
    <t xml:space="preserve"> Insurer</t>
  </si>
  <si>
    <t xml:space="preserve">Aditya Birla Sun Life Insurance Co. Ltd </t>
  </si>
  <si>
    <t>Aegon Life Insurance Co. Ltd</t>
  </si>
  <si>
    <t>Aviva Life Insurance Co. Ltd</t>
  </si>
  <si>
    <t>Bajaj Allianz Life Insurance Co. Ltd</t>
  </si>
  <si>
    <t>Bharti AXA Life Insurance Co. Ltd</t>
  </si>
  <si>
    <t>Canara HSBC Life Insurance Co. Ltd</t>
  </si>
  <si>
    <t>Pramerica Life Insurance Co. Ltd</t>
  </si>
  <si>
    <t>Edelweiss Tokio Life Insurance Co. Ltd</t>
  </si>
  <si>
    <t>Exide Life Insurance Co. Ltd</t>
  </si>
  <si>
    <t>Future Generali Life Insurance Co. Ltd</t>
  </si>
  <si>
    <t>HDFC Standard Life Insurance Co. Ltd</t>
  </si>
  <si>
    <t>ICICI Prudential Life Insurance Co. Ltd</t>
  </si>
  <si>
    <t>India First Life Insurance Co. Ltd</t>
  </si>
  <si>
    <t>Kotak Mahindra Life Insurance Co. Ltd</t>
  </si>
  <si>
    <t>Max Life Insurance Co. Ltd</t>
  </si>
  <si>
    <t>PNB Met Life Insurance Co. Ltd</t>
  </si>
  <si>
    <t>Reliance Nippon Life Insurance Co. Ltd</t>
  </si>
  <si>
    <t>Sahara India Life Insurance Co. Ltd</t>
  </si>
  <si>
    <t>SBI Life Insurance Co. Ltd</t>
  </si>
  <si>
    <t>Shriram Life Insurance Co. Ltd</t>
  </si>
  <si>
    <t>Star Union Dai-ichi Life Insurance Co. Ltd</t>
  </si>
  <si>
    <t>Tata AIA Life Insurance Co. Ltd</t>
  </si>
  <si>
    <t>LIC of India</t>
  </si>
  <si>
    <t>PERSISTENCY OF LIFE INSURANCE POLICIES (in %) Upto 31st March 2021</t>
  </si>
  <si>
    <t>Ageas Federal Life Insurance Co. Ltd</t>
  </si>
  <si>
    <t>Annualized Premium Basis</t>
  </si>
  <si>
    <t>Policy Basis</t>
  </si>
  <si>
    <t>(c) Ohers-REPOS</t>
  </si>
  <si>
    <t>(d) CBLO</t>
  </si>
  <si>
    <t>13 Month</t>
  </si>
  <si>
    <t>25 Month</t>
  </si>
  <si>
    <t>37 Month</t>
  </si>
  <si>
    <t>49 Month</t>
  </si>
  <si>
    <t>61 Month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</si>
</sst>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sz val="9"/>
      <color indexed="62"/>
      <name val="Comic Sans MS"/>
      <family val="4"/>
    </font>
    <font>
      <sz val="9"/>
      <color indexed="62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sz val="8"/>
      <name val="Comic Sans MS"/>
      <family val="4"/>
    </font>
    <font>
      <b/>
      <sz val="8"/>
      <color indexed="8"/>
      <name val="Comic Sans MS"/>
      <family val="4"/>
    </font>
    <font>
      <b/>
      <sz val="8"/>
      <color indexed="30"/>
      <name val="Comic Sans MS"/>
      <family val="4"/>
    </font>
    <font>
      <sz val="8"/>
      <color indexed="30"/>
      <name val="Comic Sans MS"/>
      <family val="4"/>
    </font>
    <font>
      <b/>
      <sz val="10"/>
      <color indexed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i/>
      <sz val="9"/>
      <color indexed="8"/>
      <name val="Comic Sans MS"/>
      <family val="4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9"/>
      <color indexed="10"/>
      <name val="Comic Sans MS"/>
      <family val="4"/>
    </font>
    <font>
      <sz val="9"/>
      <color indexed="49"/>
      <name val="Comic Sans MS"/>
      <family val="4"/>
    </font>
    <font>
      <b/>
      <sz val="8"/>
      <color indexed="49"/>
      <name val="Comic Sans MS"/>
      <family val="4"/>
    </font>
    <font>
      <b/>
      <sz val="9"/>
      <color indexed="49"/>
      <name val="Comic Sans MS"/>
      <family val="4"/>
    </font>
    <font>
      <sz val="11"/>
      <color indexed="49"/>
      <name val="Comic Sans MS"/>
      <family val="4"/>
    </font>
    <font>
      <b/>
      <sz val="10"/>
      <color indexed="49"/>
      <name val="Comic Sans MS"/>
      <family val="4"/>
    </font>
    <font>
      <b/>
      <sz val="11"/>
      <color indexed="49"/>
      <name val="Comic Sans MS"/>
      <family val="4"/>
    </font>
    <font>
      <b/>
      <sz val="8"/>
      <color indexed="62"/>
      <name val="Comic Sans MS"/>
      <family val="4"/>
    </font>
    <font>
      <sz val="11"/>
      <color indexed="62"/>
      <name val="Comic Sans MS"/>
      <family val="4"/>
    </font>
    <font>
      <sz val="8"/>
      <color indexed="62"/>
      <name val="Comic Sans MS"/>
      <family val="4"/>
    </font>
    <font>
      <b/>
      <sz val="11"/>
      <color indexed="62"/>
      <name val="Comic Sans MS"/>
      <family val="4"/>
    </font>
    <font>
      <b/>
      <sz val="10"/>
      <color indexed="62"/>
      <name val="Comic Sans MS"/>
      <family val="4"/>
    </font>
    <font>
      <b/>
      <sz val="11"/>
      <color indexed="8"/>
      <name val="Comic Sans MS"/>
      <family val="4"/>
    </font>
    <font>
      <b/>
      <i/>
      <sz val="9"/>
      <color indexed="62"/>
      <name val="Comic Sans MS"/>
      <family val="4"/>
    </font>
    <font>
      <b/>
      <sz val="9"/>
      <color indexed="30"/>
      <name val="Cambria"/>
      <family val="1"/>
    </font>
    <font>
      <b/>
      <sz val="9"/>
      <color indexed="30"/>
      <name val="Comic Sans MS"/>
      <family val="4"/>
    </font>
    <font>
      <b/>
      <sz val="14"/>
      <color indexed="8"/>
      <name val="Comic Sans MS"/>
      <family val="4"/>
    </font>
    <font>
      <b/>
      <sz val="11"/>
      <color indexed="30"/>
      <name val="Comic Sans MS"/>
      <family val="4"/>
    </font>
    <font>
      <i/>
      <sz val="8"/>
      <color indexed="8"/>
      <name val="Comic Sans MS"/>
      <family val="4"/>
    </font>
    <font>
      <sz val="8"/>
      <color indexed="10"/>
      <name val="Comic Sans MS"/>
      <family val="4"/>
    </font>
    <font>
      <b/>
      <sz val="8"/>
      <color indexed="10"/>
      <name val="Comic Sans MS"/>
      <family val="4"/>
    </font>
    <font>
      <sz val="11"/>
      <color indexed="8"/>
      <name val="Arial"/>
      <family val="2"/>
    </font>
    <font>
      <b/>
      <sz val="10"/>
      <color indexed="30"/>
      <name val="Comic Sans MS"/>
      <family val="4"/>
    </font>
    <font>
      <b/>
      <sz val="11"/>
      <color indexed="30"/>
      <name val="Calibri"/>
      <family val="2"/>
    </font>
    <font>
      <b/>
      <sz val="10"/>
      <color indexed="8"/>
      <name val="Arial"/>
      <family val="2"/>
    </font>
    <font>
      <b/>
      <i/>
      <sz val="9"/>
      <color indexed="8"/>
      <name val="Comic Sans MS"/>
      <family val="4"/>
    </font>
    <font>
      <b/>
      <u val="single"/>
      <sz val="11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omic Sans MS"/>
      <family val="4"/>
    </font>
    <font>
      <sz val="9"/>
      <color theme="1"/>
      <name val="Comic Sans MS"/>
      <family val="4"/>
    </font>
    <font>
      <sz val="9"/>
      <color rgb="FF000000"/>
      <name val="Comic Sans MS"/>
      <family val="4"/>
    </font>
    <font>
      <i/>
      <sz val="9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sz val="8"/>
      <color rgb="FF000000"/>
      <name val="Comic Sans MS"/>
      <family val="4"/>
    </font>
    <font>
      <b/>
      <sz val="8"/>
      <color theme="1"/>
      <name val="Comic Sans MS"/>
      <family val="4"/>
    </font>
    <font>
      <b/>
      <sz val="9"/>
      <color rgb="FF000000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sz val="8"/>
      <color rgb="FF000000"/>
      <name val="Cambria"/>
      <family val="1"/>
    </font>
    <font>
      <b/>
      <sz val="8"/>
      <color rgb="FF000000"/>
      <name val="Cambria"/>
      <family val="1"/>
    </font>
    <font>
      <b/>
      <sz val="9"/>
      <color rgb="FFFF0000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b/>
      <sz val="9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b/>
      <sz val="10"/>
      <color rgb="FF000000"/>
      <name val="Comic Sans MS"/>
      <family val="4"/>
    </font>
    <font>
      <b/>
      <sz val="9"/>
      <color theme="8"/>
      <name val="Comic Sans MS"/>
      <family val="4"/>
    </font>
    <font>
      <sz val="9"/>
      <color theme="8"/>
      <name val="Comic Sans MS"/>
      <family val="4"/>
    </font>
    <font>
      <b/>
      <sz val="8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</font>
    <font>
      <sz val="8"/>
      <color theme="8"/>
      <name val="Comic Sans MS"/>
      <family val="4"/>
    </font>
    <font>
      <b/>
      <sz val="11"/>
      <color theme="8"/>
      <name val="Comic Sans MS"/>
      <family val="4"/>
    </font>
    <font>
      <b/>
      <sz val="10"/>
      <color theme="8"/>
      <name val="Comic Sans MS"/>
      <family val="4"/>
    </font>
    <font>
      <b/>
      <sz val="11"/>
      <color theme="1"/>
      <name val="Comic Sans MS"/>
      <family val="4"/>
    </font>
    <font>
      <b/>
      <sz val="8"/>
      <color rgb="FF0070C0"/>
      <name val="Comic Sans MS"/>
      <family val="4"/>
    </font>
    <font>
      <sz val="8"/>
      <color rgb="FF0070C0"/>
      <name val="Comic Sans MS"/>
      <family val="4"/>
    </font>
    <font>
      <b/>
      <i/>
      <sz val="9"/>
      <color theme="8"/>
      <name val="Comic Sans MS"/>
      <family val="4"/>
    </font>
    <font>
      <b/>
      <sz val="9"/>
      <color rgb="FF0070C0"/>
      <name val="Cambria"/>
      <family val="1"/>
    </font>
    <font>
      <b/>
      <sz val="9"/>
      <color rgb="FF0070C0"/>
      <name val="Comic Sans MS"/>
      <family val="4"/>
    </font>
    <font>
      <b/>
      <sz val="14"/>
      <color theme="1"/>
      <name val="Comic Sans MS"/>
      <family val="4"/>
    </font>
    <font>
      <sz val="10"/>
      <color rgb="FF000000"/>
      <name val="Comic Sans MS"/>
      <family val="4"/>
    </font>
    <font>
      <b/>
      <sz val="11"/>
      <color rgb="FF0070C0"/>
      <name val="Comic Sans MS"/>
      <family val="4"/>
    </font>
    <font>
      <i/>
      <sz val="8"/>
      <color rgb="FF000000"/>
      <name val="Comic Sans MS"/>
      <family val="4"/>
    </font>
    <font>
      <sz val="8"/>
      <color rgb="FFFF0000"/>
      <name val="Comic Sans MS"/>
      <family val="4"/>
    </font>
    <font>
      <b/>
      <sz val="8"/>
      <color rgb="FFFF0000"/>
      <name val="Comic Sans MS"/>
      <family val="4"/>
    </font>
    <font>
      <sz val="11"/>
      <color theme="1"/>
      <name val="Arial"/>
      <family val="2"/>
    </font>
    <font>
      <b/>
      <sz val="10"/>
      <color rgb="FF0070C0"/>
      <name val="Comic Sans MS"/>
      <family val="4"/>
    </font>
    <font>
      <b/>
      <sz val="11"/>
      <color rgb="FF0070C0"/>
      <name val="Calibri"/>
      <family val="2"/>
    </font>
    <font>
      <b/>
      <sz val="10"/>
      <color theme="1"/>
      <name val="Arial"/>
      <family val="2"/>
    </font>
    <font>
      <b/>
      <i/>
      <sz val="9"/>
      <color theme="1"/>
      <name val="Comic Sans MS"/>
      <family val="4"/>
    </font>
    <font>
      <b/>
      <u val="single"/>
      <sz val="11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792">
    <xf numFmtId="0" fontId="0" fillId="0" borderId="0" xfId="0" applyFont="1" applyAlignment="1">
      <alignment/>
    </xf>
    <xf numFmtId="0" fontId="83" fillId="0" borderId="10" xfId="0" applyFont="1" applyBorder="1" applyAlignment="1">
      <alignment horizontal="left" vertical="center"/>
    </xf>
    <xf numFmtId="2" fontId="84" fillId="0" borderId="11" xfId="0" applyNumberFormat="1" applyFont="1" applyBorder="1" applyAlignment="1">
      <alignment horizontal="left"/>
    </xf>
    <xf numFmtId="2" fontId="84" fillId="0" borderId="12" xfId="0" applyNumberFormat="1" applyFont="1" applyBorder="1" applyAlignment="1">
      <alignment horizontal="left"/>
    </xf>
    <xf numFmtId="2" fontId="84" fillId="0" borderId="10" xfId="0" applyNumberFormat="1" applyFont="1" applyBorder="1" applyAlignment="1">
      <alignment horizontal="left"/>
    </xf>
    <xf numFmtId="2" fontId="84" fillId="0" borderId="12" xfId="44" applyNumberFormat="1" applyFont="1" applyBorder="1" applyAlignment="1">
      <alignment horizontal="left"/>
    </xf>
    <xf numFmtId="2" fontId="84" fillId="0" borderId="10" xfId="44" applyNumberFormat="1" applyFont="1" applyBorder="1" applyAlignment="1">
      <alignment horizontal="left"/>
    </xf>
    <xf numFmtId="2" fontId="83" fillId="0" borderId="11" xfId="0" applyNumberFormat="1" applyFont="1" applyBorder="1" applyAlignment="1">
      <alignment horizontal="left"/>
    </xf>
    <xf numFmtId="2" fontId="83" fillId="0" borderId="12" xfId="0" applyNumberFormat="1" applyFont="1" applyBorder="1" applyAlignment="1">
      <alignment horizontal="left"/>
    </xf>
    <xf numFmtId="2" fontId="83" fillId="0" borderId="10" xfId="0" applyNumberFormat="1" applyFont="1" applyBorder="1" applyAlignment="1">
      <alignment horizontal="left"/>
    </xf>
    <xf numFmtId="2" fontId="84" fillId="0" borderId="13" xfId="0" applyNumberFormat="1" applyFont="1" applyBorder="1" applyAlignment="1">
      <alignment horizontal="left"/>
    </xf>
    <xf numFmtId="0" fontId="84" fillId="0" borderId="0" xfId="0" applyFont="1" applyAlignment="1">
      <alignment horizontal="left"/>
    </xf>
    <xf numFmtId="1" fontId="83" fillId="0" borderId="12" xfId="0" applyNumberFormat="1" applyFont="1" applyBorder="1" applyAlignment="1">
      <alignment horizontal="left" vertical="center"/>
    </xf>
    <xf numFmtId="1" fontId="83" fillId="0" borderId="11" xfId="0" applyNumberFormat="1" applyFont="1" applyBorder="1" applyAlignment="1">
      <alignment horizontal="left" vertical="center"/>
    </xf>
    <xf numFmtId="1" fontId="83" fillId="0" borderId="14" xfId="0" applyNumberFormat="1" applyFont="1" applyBorder="1" applyAlignment="1">
      <alignment horizontal="left" vertical="center"/>
    </xf>
    <xf numFmtId="1" fontId="83" fillId="0" borderId="10" xfId="0" applyNumberFormat="1" applyFont="1" applyBorder="1" applyAlignment="1">
      <alignment horizontal="left" vertical="center"/>
    </xf>
    <xf numFmtId="3" fontId="85" fillId="0" borderId="14" xfId="0" applyNumberFormat="1" applyFont="1" applyBorder="1" applyAlignment="1">
      <alignment horizontal="left"/>
    </xf>
    <xf numFmtId="3" fontId="85" fillId="0" borderId="12" xfId="0" applyNumberFormat="1" applyFont="1" applyBorder="1" applyAlignment="1">
      <alignment horizontal="left"/>
    </xf>
    <xf numFmtId="3" fontId="85" fillId="0" borderId="10" xfId="0" applyNumberFormat="1" applyFont="1" applyBorder="1" applyAlignment="1">
      <alignment horizontal="left"/>
    </xf>
    <xf numFmtId="1" fontId="84" fillId="0" borderId="12" xfId="0" applyNumberFormat="1" applyFont="1" applyBorder="1" applyAlignment="1">
      <alignment horizontal="left"/>
    </xf>
    <xf numFmtId="1" fontId="84" fillId="0" borderId="15" xfId="0" applyNumberFormat="1" applyFont="1" applyBorder="1" applyAlignment="1">
      <alignment horizontal="left"/>
    </xf>
    <xf numFmtId="2" fontId="84" fillId="0" borderId="14" xfId="0" applyNumberFormat="1" applyFont="1" applyBorder="1" applyAlignment="1">
      <alignment horizontal="left"/>
    </xf>
    <xf numFmtId="1" fontId="84" fillId="0" borderId="14" xfId="0" applyNumberFormat="1" applyFont="1" applyBorder="1" applyAlignment="1">
      <alignment horizontal="left"/>
    </xf>
    <xf numFmtId="1" fontId="84" fillId="0" borderId="10" xfId="0" applyNumberFormat="1" applyFont="1" applyBorder="1" applyAlignment="1">
      <alignment horizontal="left"/>
    </xf>
    <xf numFmtId="1" fontId="84" fillId="0" borderId="12" xfId="44" applyNumberFormat="1" applyFont="1" applyBorder="1" applyAlignment="1">
      <alignment horizontal="left"/>
    </xf>
    <xf numFmtId="1" fontId="84" fillId="0" borderId="10" xfId="44" applyNumberFormat="1" applyFont="1" applyBorder="1" applyAlignment="1">
      <alignment horizontal="left"/>
    </xf>
    <xf numFmtId="2" fontId="84" fillId="0" borderId="14" xfId="0" applyNumberFormat="1" applyFont="1" applyBorder="1" applyAlignment="1">
      <alignment horizontal="left" wrapText="1"/>
    </xf>
    <xf numFmtId="1" fontId="84" fillId="0" borderId="12" xfId="0" applyNumberFormat="1" applyFont="1" applyFill="1" applyBorder="1" applyAlignment="1">
      <alignment horizontal="left"/>
    </xf>
    <xf numFmtId="1" fontId="84" fillId="0" borderId="10" xfId="0" applyNumberFormat="1" applyFont="1" applyFill="1" applyBorder="1" applyAlignment="1">
      <alignment horizontal="left"/>
    </xf>
    <xf numFmtId="1" fontId="84" fillId="0" borderId="12" xfId="42" applyNumberFormat="1" applyFont="1" applyBorder="1" applyAlignment="1">
      <alignment horizontal="left"/>
    </xf>
    <xf numFmtId="1" fontId="84" fillId="0" borderId="10" xfId="42" applyNumberFormat="1" applyFont="1" applyBorder="1" applyAlignment="1">
      <alignment horizontal="left"/>
    </xf>
    <xf numFmtId="1" fontId="83" fillId="0" borderId="12" xfId="42" applyNumberFormat="1" applyFont="1" applyBorder="1" applyAlignment="1">
      <alignment horizontal="left"/>
    </xf>
    <xf numFmtId="1" fontId="83" fillId="0" borderId="10" xfId="42" applyNumberFormat="1" applyFont="1" applyBorder="1" applyAlignment="1">
      <alignment horizontal="left"/>
    </xf>
    <xf numFmtId="0" fontId="85" fillId="0" borderId="14" xfId="0" applyFont="1" applyBorder="1" applyAlignment="1">
      <alignment horizontal="left"/>
    </xf>
    <xf numFmtId="0" fontId="85" fillId="0" borderId="12" xfId="0" applyFont="1" applyBorder="1" applyAlignment="1">
      <alignment horizontal="left"/>
    </xf>
    <xf numFmtId="1" fontId="83" fillId="0" borderId="12" xfId="0" applyNumberFormat="1" applyFont="1" applyBorder="1" applyAlignment="1">
      <alignment horizontal="left"/>
    </xf>
    <xf numFmtId="2" fontId="83" fillId="0" borderId="14" xfId="0" applyNumberFormat="1" applyFont="1" applyBorder="1" applyAlignment="1">
      <alignment horizontal="left"/>
    </xf>
    <xf numFmtId="1" fontId="83" fillId="0" borderId="14" xfId="0" applyNumberFormat="1" applyFont="1" applyBorder="1" applyAlignment="1">
      <alignment horizontal="left"/>
    </xf>
    <xf numFmtId="1" fontId="83" fillId="0" borderId="10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84" fillId="0" borderId="0" xfId="0" applyNumberFormat="1" applyFont="1" applyAlignment="1">
      <alignment horizontal="left"/>
    </xf>
    <xf numFmtId="1" fontId="83" fillId="0" borderId="16" xfId="0" applyNumberFormat="1" applyFont="1" applyBorder="1" applyAlignment="1">
      <alignment horizontal="left"/>
    </xf>
    <xf numFmtId="2" fontId="83" fillId="0" borderId="12" xfId="0" applyNumberFormat="1" applyFont="1" applyBorder="1" applyAlignment="1">
      <alignment horizontal="left" vertical="center"/>
    </xf>
    <xf numFmtId="1" fontId="84" fillId="0" borderId="16" xfId="44" applyNumberFormat="1" applyFont="1" applyBorder="1" applyAlignment="1">
      <alignment horizontal="left"/>
    </xf>
    <xf numFmtId="2" fontId="84" fillId="0" borderId="16" xfId="0" applyNumberFormat="1" applyFont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0" fontId="86" fillId="0" borderId="0" xfId="0" applyFont="1" applyBorder="1" applyAlignment="1">
      <alignment horizontal="left"/>
    </xf>
    <xf numFmtId="0" fontId="85" fillId="0" borderId="17" xfId="0" applyFont="1" applyBorder="1" applyAlignment="1">
      <alignment horizontal="left"/>
    </xf>
    <xf numFmtId="1" fontId="84" fillId="0" borderId="18" xfId="0" applyNumberFormat="1" applyFont="1" applyBorder="1" applyAlignment="1">
      <alignment horizontal="left" vertical="center"/>
    </xf>
    <xf numFmtId="1" fontId="84" fillId="0" borderId="19" xfId="0" applyNumberFormat="1" applyFont="1" applyBorder="1" applyAlignment="1">
      <alignment horizontal="left"/>
    </xf>
    <xf numFmtId="1" fontId="84" fillId="0" borderId="16" xfId="0" applyNumberFormat="1" applyFont="1" applyBorder="1" applyAlignment="1">
      <alignment horizontal="left"/>
    </xf>
    <xf numFmtId="1" fontId="84" fillId="0" borderId="18" xfId="0" applyNumberFormat="1" applyFont="1" applyBorder="1" applyAlignment="1">
      <alignment horizontal="left"/>
    </xf>
    <xf numFmtId="2" fontId="84" fillId="0" borderId="18" xfId="0" applyNumberFormat="1" applyFont="1" applyBorder="1" applyAlignment="1">
      <alignment horizontal="left"/>
    </xf>
    <xf numFmtId="1" fontId="84" fillId="0" borderId="18" xfId="44" applyNumberFormat="1" applyFont="1" applyBorder="1" applyAlignment="1">
      <alignment horizontal="left"/>
    </xf>
    <xf numFmtId="1" fontId="84" fillId="0" borderId="16" xfId="0" applyNumberFormat="1" applyFont="1" applyFill="1" applyBorder="1" applyAlignment="1">
      <alignment horizontal="left"/>
    </xf>
    <xf numFmtId="1" fontId="84" fillId="0" borderId="18" xfId="0" applyNumberFormat="1" applyFont="1" applyFill="1" applyBorder="1" applyAlignment="1">
      <alignment horizontal="left"/>
    </xf>
    <xf numFmtId="1" fontId="84" fillId="0" borderId="16" xfId="42" applyNumberFormat="1" applyFont="1" applyBorder="1" applyAlignment="1">
      <alignment horizontal="left"/>
    </xf>
    <xf numFmtId="1" fontId="84" fillId="0" borderId="18" xfId="42" applyNumberFormat="1" applyFont="1" applyBorder="1" applyAlignment="1">
      <alignment horizontal="left"/>
    </xf>
    <xf numFmtId="1" fontId="83" fillId="0" borderId="19" xfId="0" applyNumberFormat="1" applyFont="1" applyBorder="1" applyAlignment="1">
      <alignment horizontal="left"/>
    </xf>
    <xf numFmtId="1" fontId="83" fillId="0" borderId="20" xfId="0" applyNumberFormat="1" applyFont="1" applyBorder="1" applyAlignment="1">
      <alignment horizontal="left"/>
    </xf>
    <xf numFmtId="2" fontId="84" fillId="0" borderId="0" xfId="0" applyNumberFormat="1" applyFont="1" applyAlignment="1">
      <alignment horizontal="left"/>
    </xf>
    <xf numFmtId="1" fontId="84" fillId="0" borderId="10" xfId="0" applyNumberFormat="1" applyFont="1" applyBorder="1" applyAlignment="1">
      <alignment horizontal="left" vertical="center"/>
    </xf>
    <xf numFmtId="1" fontId="83" fillId="0" borderId="13" xfId="0" applyNumberFormat="1" applyFont="1" applyBorder="1" applyAlignment="1">
      <alignment horizontal="left"/>
    </xf>
    <xf numFmtId="1" fontId="83" fillId="0" borderId="21" xfId="0" applyNumberFormat="1" applyFont="1" applyBorder="1" applyAlignment="1">
      <alignment horizontal="left"/>
    </xf>
    <xf numFmtId="2" fontId="84" fillId="0" borderId="22" xfId="0" applyNumberFormat="1" applyFont="1" applyBorder="1" applyAlignment="1">
      <alignment horizontal="left" wrapText="1"/>
    </xf>
    <xf numFmtId="1" fontId="84" fillId="0" borderId="13" xfId="0" applyNumberFormat="1" applyFont="1" applyFill="1" applyBorder="1" applyAlignment="1">
      <alignment horizontal="left"/>
    </xf>
    <xf numFmtId="1" fontId="84" fillId="0" borderId="21" xfId="0" applyNumberFormat="1" applyFont="1" applyFill="1" applyBorder="1" applyAlignment="1">
      <alignment horizontal="left"/>
    </xf>
    <xf numFmtId="2" fontId="83" fillId="0" borderId="13" xfId="0" applyNumberFormat="1" applyFont="1" applyBorder="1" applyAlignment="1">
      <alignment horizontal="left"/>
    </xf>
    <xf numFmtId="2" fontId="83" fillId="0" borderId="21" xfId="0" applyNumberFormat="1" applyFont="1" applyBorder="1" applyAlignment="1">
      <alignment horizontal="left"/>
    </xf>
    <xf numFmtId="0" fontId="87" fillId="0" borderId="0" xfId="0" applyFont="1" applyAlignment="1">
      <alignment horizontal="left"/>
    </xf>
    <xf numFmtId="2" fontId="84" fillId="0" borderId="12" xfId="0" applyNumberFormat="1" applyFont="1" applyBorder="1" applyAlignment="1">
      <alignment horizontal="left" vertical="center"/>
    </xf>
    <xf numFmtId="2" fontId="84" fillId="0" borderId="15" xfId="0" applyNumberFormat="1" applyFont="1" applyBorder="1" applyAlignment="1">
      <alignment horizontal="left" vertical="center"/>
    </xf>
    <xf numFmtId="2" fontId="88" fillId="0" borderId="11" xfId="0" applyNumberFormat="1" applyFont="1" applyBorder="1" applyAlignment="1">
      <alignment horizontal="left"/>
    </xf>
    <xf numFmtId="2" fontId="88" fillId="0" borderId="12" xfId="0" applyNumberFormat="1" applyFont="1" applyBorder="1" applyAlignment="1">
      <alignment horizontal="left"/>
    </xf>
    <xf numFmtId="2" fontId="88" fillId="0" borderId="15" xfId="0" applyNumberFormat="1" applyFont="1" applyBorder="1" applyAlignment="1">
      <alignment horizontal="left"/>
    </xf>
    <xf numFmtId="2" fontId="88" fillId="0" borderId="10" xfId="0" applyNumberFormat="1" applyFont="1" applyBorder="1" applyAlignment="1">
      <alignment horizontal="left"/>
    </xf>
    <xf numFmtId="0" fontId="84" fillId="0" borderId="12" xfId="0" applyFont="1" applyBorder="1" applyAlignment="1">
      <alignment horizontal="left"/>
    </xf>
    <xf numFmtId="0" fontId="84" fillId="0" borderId="10" xfId="0" applyFont="1" applyBorder="1" applyAlignment="1">
      <alignment horizontal="left"/>
    </xf>
    <xf numFmtId="2" fontId="88" fillId="0" borderId="10" xfId="0" applyNumberFormat="1" applyFont="1" applyFill="1" applyBorder="1" applyAlignment="1">
      <alignment horizontal="left"/>
    </xf>
    <xf numFmtId="2" fontId="88" fillId="0" borderId="12" xfId="42" applyNumberFormat="1" applyFont="1" applyBorder="1" applyAlignment="1">
      <alignment horizontal="left"/>
    </xf>
    <xf numFmtId="2" fontId="88" fillId="0" borderId="10" xfId="42" applyNumberFormat="1" applyFont="1" applyBorder="1" applyAlignment="1">
      <alignment horizontal="left"/>
    </xf>
    <xf numFmtId="2" fontId="89" fillId="0" borderId="14" xfId="0" applyNumberFormat="1" applyFont="1" applyBorder="1" applyAlignment="1">
      <alignment horizontal="left"/>
    </xf>
    <xf numFmtId="2" fontId="88" fillId="0" borderId="11" xfId="42" applyNumberFormat="1" applyFont="1" applyBorder="1" applyAlignment="1">
      <alignment horizontal="left"/>
    </xf>
    <xf numFmtId="2" fontId="89" fillId="0" borderId="11" xfId="0" applyNumberFormat="1" applyFont="1" applyBorder="1" applyAlignment="1">
      <alignment horizontal="left"/>
    </xf>
    <xf numFmtId="3" fontId="90" fillId="0" borderId="14" xfId="0" applyNumberFormat="1" applyFont="1" applyBorder="1" applyAlignment="1">
      <alignment horizontal="left"/>
    </xf>
    <xf numFmtId="3" fontId="90" fillId="0" borderId="10" xfId="0" applyNumberFormat="1" applyFont="1" applyBorder="1" applyAlignment="1">
      <alignment horizontal="left"/>
    </xf>
    <xf numFmtId="2" fontId="83" fillId="0" borderId="15" xfId="0" applyNumberFormat="1" applyFont="1" applyBorder="1" applyAlignment="1">
      <alignment horizontal="left" vertical="center"/>
    </xf>
    <xf numFmtId="2" fontId="89" fillId="0" borderId="12" xfId="0" applyNumberFormat="1" applyFont="1" applyBorder="1" applyAlignment="1">
      <alignment horizontal="left"/>
    </xf>
    <xf numFmtId="2" fontId="89" fillId="0" borderId="15" xfId="0" applyNumberFormat="1" applyFont="1" applyBorder="1" applyAlignment="1">
      <alignment horizontal="left"/>
    </xf>
    <xf numFmtId="2" fontId="89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87" fillId="0" borderId="0" xfId="0" applyNumberFormat="1" applyFont="1" applyAlignment="1">
      <alignment horizontal="left"/>
    </xf>
    <xf numFmtId="2" fontId="83" fillId="0" borderId="12" xfId="44" applyNumberFormat="1" applyFont="1" applyBorder="1" applyAlignment="1">
      <alignment horizontal="left"/>
    </xf>
    <xf numFmtId="0" fontId="83" fillId="0" borderId="0" xfId="0" applyFont="1" applyAlignment="1">
      <alignment/>
    </xf>
    <xf numFmtId="0" fontId="91" fillId="0" borderId="0" xfId="0" applyFont="1" applyAlignment="1">
      <alignment horizontal="left"/>
    </xf>
    <xf numFmtId="2" fontId="83" fillId="0" borderId="14" xfId="0" applyNumberFormat="1" applyFont="1" applyBorder="1" applyAlignment="1">
      <alignment horizontal="left" vertical="center"/>
    </xf>
    <xf numFmtId="2" fontId="83" fillId="0" borderId="10" xfId="0" applyNumberFormat="1" applyFont="1" applyBorder="1" applyAlignment="1">
      <alignment horizontal="left" vertical="center"/>
    </xf>
    <xf numFmtId="0" fontId="83" fillId="0" borderId="0" xfId="0" applyFont="1" applyAlignment="1">
      <alignment horizontal="left"/>
    </xf>
    <xf numFmtId="2" fontId="83" fillId="0" borderId="15" xfId="0" applyNumberFormat="1" applyFont="1" applyBorder="1" applyAlignment="1">
      <alignment horizontal="left"/>
    </xf>
    <xf numFmtId="2" fontId="83" fillId="0" borderId="10" xfId="0" applyNumberFormat="1" applyFont="1" applyFill="1" applyBorder="1" applyAlignment="1">
      <alignment horizontal="left"/>
    </xf>
    <xf numFmtId="2" fontId="83" fillId="0" borderId="11" xfId="42" applyNumberFormat="1" applyFont="1" applyBorder="1" applyAlignment="1">
      <alignment horizontal="left"/>
    </xf>
    <xf numFmtId="2" fontId="83" fillId="0" borderId="12" xfId="42" applyNumberFormat="1" applyFont="1" applyBorder="1" applyAlignment="1">
      <alignment horizontal="left"/>
    </xf>
    <xf numFmtId="2" fontId="83" fillId="0" borderId="10" xfId="42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0" fontId="92" fillId="0" borderId="23" xfId="0" applyFont="1" applyBorder="1" applyAlignment="1">
      <alignment horizontal="left"/>
    </xf>
    <xf numFmtId="0" fontId="87" fillId="0" borderId="0" xfId="0" applyFont="1" applyAlignment="1">
      <alignment/>
    </xf>
    <xf numFmtId="0" fontId="90" fillId="0" borderId="24" xfId="0" applyFont="1" applyBorder="1" applyAlignment="1">
      <alignment horizontal="left"/>
    </xf>
    <xf numFmtId="0" fontId="93" fillId="0" borderId="10" xfId="0" applyFont="1" applyBorder="1" applyAlignment="1">
      <alignment horizontal="left"/>
    </xf>
    <xf numFmtId="0" fontId="93" fillId="0" borderId="0" xfId="0" applyFont="1" applyAlignment="1">
      <alignment horizontal="left"/>
    </xf>
    <xf numFmtId="2" fontId="93" fillId="0" borderId="10" xfId="0" applyNumberFormat="1" applyFont="1" applyBorder="1" applyAlignment="1">
      <alignment horizontal="left" vertical="center"/>
    </xf>
    <xf numFmtId="2" fontId="93" fillId="0" borderId="11" xfId="0" applyNumberFormat="1" applyFont="1" applyBorder="1" applyAlignment="1">
      <alignment horizontal="left"/>
    </xf>
    <xf numFmtId="2" fontId="93" fillId="0" borderId="12" xfId="0" applyNumberFormat="1" applyFont="1" applyBorder="1" applyAlignment="1">
      <alignment horizontal="left"/>
    </xf>
    <xf numFmtId="2" fontId="93" fillId="0" borderId="10" xfId="0" applyNumberFormat="1" applyFont="1" applyBorder="1" applyAlignment="1">
      <alignment horizontal="left"/>
    </xf>
    <xf numFmtId="1" fontId="93" fillId="0" borderId="11" xfId="0" applyNumberFormat="1" applyFont="1" applyBorder="1" applyAlignment="1">
      <alignment horizontal="left"/>
    </xf>
    <xf numFmtId="1" fontId="93" fillId="0" borderId="12" xfId="0" applyNumberFormat="1" applyFont="1" applyBorder="1" applyAlignment="1">
      <alignment horizontal="left"/>
    </xf>
    <xf numFmtId="1" fontId="93" fillId="0" borderId="10" xfId="0" applyNumberFormat="1" applyFont="1" applyBorder="1" applyAlignment="1">
      <alignment horizontal="left"/>
    </xf>
    <xf numFmtId="2" fontId="93" fillId="0" borderId="10" xfId="44" applyNumberFormat="1" applyFont="1" applyBorder="1" applyAlignment="1">
      <alignment horizontal="left"/>
    </xf>
    <xf numFmtId="2" fontId="93" fillId="0" borderId="12" xfId="0" applyNumberFormat="1" applyFont="1" applyFill="1" applyBorder="1" applyAlignment="1">
      <alignment horizontal="left"/>
    </xf>
    <xf numFmtId="2" fontId="93" fillId="0" borderId="12" xfId="42" applyNumberFormat="1" applyFont="1" applyBorder="1" applyAlignment="1">
      <alignment horizontal="left"/>
    </xf>
    <xf numFmtId="2" fontId="93" fillId="0" borderId="10" xfId="42" applyNumberFormat="1" applyFont="1" applyBorder="1" applyAlignment="1">
      <alignment horizontal="left"/>
    </xf>
    <xf numFmtId="2" fontId="91" fillId="0" borderId="25" xfId="0" applyNumberFormat="1" applyFont="1" applyBorder="1" applyAlignment="1">
      <alignment horizontal="left"/>
    </xf>
    <xf numFmtId="2" fontId="91" fillId="0" borderId="26" xfId="0" applyNumberFormat="1" applyFont="1" applyBorder="1" applyAlignment="1">
      <alignment horizontal="left"/>
    </xf>
    <xf numFmtId="2" fontId="91" fillId="0" borderId="12" xfId="0" applyNumberFormat="1" applyFont="1" applyBorder="1" applyAlignment="1">
      <alignment horizontal="left"/>
    </xf>
    <xf numFmtId="1" fontId="93" fillId="0" borderId="10" xfId="0" applyNumberFormat="1" applyFont="1" applyBorder="1" applyAlignment="1">
      <alignment horizontal="left" vertical="center"/>
    </xf>
    <xf numFmtId="1" fontId="93" fillId="0" borderId="15" xfId="0" applyNumberFormat="1" applyFont="1" applyBorder="1" applyAlignment="1">
      <alignment horizontal="left"/>
    </xf>
    <xf numFmtId="1" fontId="93" fillId="0" borderId="0" xfId="0" applyNumberFormat="1" applyFont="1" applyBorder="1" applyAlignment="1">
      <alignment horizontal="left"/>
    </xf>
    <xf numFmtId="1" fontId="93" fillId="0" borderId="27" xfId="0" applyNumberFormat="1" applyFont="1" applyBorder="1" applyAlignment="1">
      <alignment horizontal="left"/>
    </xf>
    <xf numFmtId="3" fontId="90" fillId="0" borderId="11" xfId="0" applyNumberFormat="1" applyFont="1" applyBorder="1" applyAlignment="1">
      <alignment horizontal="left"/>
    </xf>
    <xf numFmtId="1" fontId="93" fillId="0" borderId="12" xfId="0" applyNumberFormat="1" applyFont="1" applyFill="1" applyBorder="1" applyAlignment="1">
      <alignment horizontal="left"/>
    </xf>
    <xf numFmtId="1" fontId="93" fillId="0" borderId="12" xfId="42" applyNumberFormat="1" applyFont="1" applyBorder="1" applyAlignment="1">
      <alignment horizontal="left"/>
    </xf>
    <xf numFmtId="1" fontId="93" fillId="0" borderId="10" xfId="42" applyNumberFormat="1" applyFont="1" applyBorder="1" applyAlignment="1">
      <alignment horizontal="left"/>
    </xf>
    <xf numFmtId="1" fontId="91" fillId="0" borderId="11" xfId="0" applyNumberFormat="1" applyFont="1" applyBorder="1" applyAlignment="1">
      <alignment horizontal="left"/>
    </xf>
    <xf numFmtId="1" fontId="91" fillId="0" borderId="24" xfId="0" applyNumberFormat="1" applyFont="1" applyBorder="1" applyAlignment="1">
      <alignment horizontal="left"/>
    </xf>
    <xf numFmtId="0" fontId="94" fillId="0" borderId="24" xfId="0" applyFont="1" applyBorder="1" applyAlignment="1">
      <alignment horizontal="left"/>
    </xf>
    <xf numFmtId="1" fontId="91" fillId="0" borderId="12" xfId="0" applyNumberFormat="1" applyFont="1" applyBorder="1" applyAlignment="1">
      <alignment horizontal="left"/>
    </xf>
    <xf numFmtId="1" fontId="91" fillId="0" borderId="10" xfId="0" applyNumberFormat="1" applyFont="1" applyBorder="1" applyAlignment="1">
      <alignment horizontal="left"/>
    </xf>
    <xf numFmtId="1" fontId="91" fillId="0" borderId="15" xfId="0" applyNumberFormat="1" applyFont="1" applyBorder="1" applyAlignment="1">
      <alignment horizontal="left"/>
    </xf>
    <xf numFmtId="1" fontId="87" fillId="0" borderId="0" xfId="0" applyNumberFormat="1" applyFont="1" applyAlignment="1">
      <alignment horizontal="left"/>
    </xf>
    <xf numFmtId="1" fontId="93" fillId="0" borderId="14" xfId="0" applyNumberFormat="1" applyFont="1" applyBorder="1" applyAlignment="1">
      <alignment horizontal="left"/>
    </xf>
    <xf numFmtId="1" fontId="93" fillId="0" borderId="15" xfId="0" applyNumberFormat="1" applyFont="1" applyFill="1" applyBorder="1" applyAlignment="1">
      <alignment horizontal="left"/>
    </xf>
    <xf numFmtId="1" fontId="93" fillId="0" borderId="15" xfId="42" applyNumberFormat="1" applyFont="1" applyBorder="1" applyAlignment="1">
      <alignment horizontal="left"/>
    </xf>
    <xf numFmtId="1" fontId="91" fillId="0" borderId="14" xfId="0" applyNumberFormat="1" applyFont="1" applyBorder="1" applyAlignment="1">
      <alignment horizontal="left"/>
    </xf>
    <xf numFmtId="1" fontId="91" fillId="0" borderId="26" xfId="0" applyNumberFormat="1" applyFont="1" applyBorder="1" applyAlignment="1">
      <alignment horizontal="left"/>
    </xf>
    <xf numFmtId="0" fontId="93" fillId="0" borderId="0" xfId="0" applyFont="1" applyBorder="1" applyAlignment="1">
      <alignment horizontal="left"/>
    </xf>
    <xf numFmtId="2" fontId="91" fillId="0" borderId="10" xfId="0" applyNumberFormat="1" applyFont="1" applyBorder="1" applyAlignment="1">
      <alignment horizontal="left" vertical="center"/>
    </xf>
    <xf numFmtId="2" fontId="91" fillId="0" borderId="10" xfId="0" applyNumberFormat="1" applyFont="1" applyBorder="1" applyAlignment="1">
      <alignment horizontal="left"/>
    </xf>
    <xf numFmtId="2" fontId="93" fillId="0" borderId="28" xfId="0" applyNumberFormat="1" applyFont="1" applyBorder="1" applyAlignment="1">
      <alignment horizontal="left" vertical="center"/>
    </xf>
    <xf numFmtId="2" fontId="93" fillId="0" borderId="29" xfId="0" applyNumberFormat="1" applyFont="1" applyBorder="1" applyAlignment="1">
      <alignment horizontal="left"/>
    </xf>
    <xf numFmtId="1" fontId="93" fillId="0" borderId="28" xfId="0" applyNumberFormat="1" applyFont="1" applyBorder="1" applyAlignment="1">
      <alignment horizontal="left"/>
    </xf>
    <xf numFmtId="1" fontId="93" fillId="0" borderId="30" xfId="0" applyNumberFormat="1" applyFont="1" applyBorder="1" applyAlignment="1">
      <alignment horizontal="left"/>
    </xf>
    <xf numFmtId="1" fontId="93" fillId="0" borderId="29" xfId="0" applyNumberFormat="1" applyFont="1" applyBorder="1" applyAlignment="1">
      <alignment horizontal="left"/>
    </xf>
    <xf numFmtId="2" fontId="93" fillId="0" borderId="28" xfId="0" applyNumberFormat="1" applyFont="1" applyBorder="1" applyAlignment="1">
      <alignment horizontal="left"/>
    </xf>
    <xf numFmtId="1" fontId="93" fillId="0" borderId="31" xfId="0" applyNumberFormat="1" applyFont="1" applyBorder="1" applyAlignment="1">
      <alignment horizontal="left"/>
    </xf>
    <xf numFmtId="1" fontId="93" fillId="0" borderId="32" xfId="0" applyNumberFormat="1" applyFont="1" applyBorder="1" applyAlignment="1">
      <alignment horizontal="left"/>
    </xf>
    <xf numFmtId="1" fontId="93" fillId="0" borderId="32" xfId="0" applyNumberFormat="1" applyFont="1" applyFill="1" applyBorder="1" applyAlignment="1">
      <alignment horizontal="left"/>
    </xf>
    <xf numFmtId="1" fontId="93" fillId="0" borderId="32" xfId="42" applyNumberFormat="1" applyFont="1" applyBorder="1" applyAlignment="1">
      <alignment horizontal="left"/>
    </xf>
    <xf numFmtId="1" fontId="91" fillId="0" borderId="31" xfId="0" applyNumberFormat="1" applyFont="1" applyBorder="1" applyAlignment="1">
      <alignment horizontal="left"/>
    </xf>
    <xf numFmtId="1" fontId="91" fillId="0" borderId="30" xfId="0" applyNumberFormat="1" applyFont="1" applyBorder="1" applyAlignment="1">
      <alignment horizontal="left"/>
    </xf>
    <xf numFmtId="1" fontId="91" fillId="0" borderId="33" xfId="0" applyNumberFormat="1" applyFont="1" applyBorder="1" applyAlignment="1">
      <alignment horizontal="left"/>
    </xf>
    <xf numFmtId="0" fontId="93" fillId="0" borderId="34" xfId="0" applyFont="1" applyBorder="1" applyAlignment="1">
      <alignment horizontal="left"/>
    </xf>
    <xf numFmtId="0" fontId="93" fillId="0" borderId="35" xfId="0" applyFont="1" applyBorder="1" applyAlignment="1">
      <alignment horizontal="left"/>
    </xf>
    <xf numFmtId="1" fontId="93" fillId="0" borderId="35" xfId="0" applyNumberFormat="1" applyFont="1" applyBorder="1" applyAlignment="1">
      <alignment horizontal="left"/>
    </xf>
    <xf numFmtId="1" fontId="93" fillId="0" borderId="34" xfId="0" applyNumberFormat="1" applyFont="1" applyBorder="1" applyAlignment="1">
      <alignment horizontal="left"/>
    </xf>
    <xf numFmtId="1" fontId="91" fillId="0" borderId="36" xfId="0" applyNumberFormat="1" applyFont="1" applyBorder="1" applyAlignment="1">
      <alignment horizontal="left"/>
    </xf>
    <xf numFmtId="1" fontId="91" fillId="0" borderId="35" xfId="0" applyNumberFormat="1" applyFont="1" applyBorder="1" applyAlignment="1">
      <alignment horizontal="left"/>
    </xf>
    <xf numFmtId="0" fontId="93" fillId="0" borderId="27" xfId="0" applyFont="1" applyBorder="1" applyAlignment="1">
      <alignment horizontal="left"/>
    </xf>
    <xf numFmtId="1" fontId="93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81" fillId="0" borderId="0" xfId="0" applyFont="1" applyAlignment="1">
      <alignment/>
    </xf>
    <xf numFmtId="0" fontId="94" fillId="0" borderId="37" xfId="0" applyFont="1" applyBorder="1" applyAlignment="1">
      <alignment horizontal="left"/>
    </xf>
    <xf numFmtId="0" fontId="91" fillId="0" borderId="16" xfId="0" applyFont="1" applyBorder="1" applyAlignment="1">
      <alignment horizontal="left" vertical="center"/>
    </xf>
    <xf numFmtId="0" fontId="91" fillId="0" borderId="18" xfId="0" applyFont="1" applyBorder="1" applyAlignment="1">
      <alignment horizontal="left" vertical="center"/>
    </xf>
    <xf numFmtId="1" fontId="91" fillId="0" borderId="18" xfId="0" applyNumberFormat="1" applyFont="1" applyBorder="1" applyAlignment="1">
      <alignment horizontal="left" vertical="center"/>
    </xf>
    <xf numFmtId="1" fontId="91" fillId="0" borderId="19" xfId="0" applyNumberFormat="1" applyFont="1" applyBorder="1" applyAlignment="1">
      <alignment horizontal="left" vertical="center"/>
    </xf>
    <xf numFmtId="1" fontId="91" fillId="0" borderId="16" xfId="0" applyNumberFormat="1" applyFont="1" applyBorder="1" applyAlignment="1">
      <alignment horizontal="left" vertical="center"/>
    </xf>
    <xf numFmtId="1" fontId="91" fillId="0" borderId="38" xfId="0" applyNumberFormat="1" applyFont="1" applyBorder="1" applyAlignment="1">
      <alignment horizontal="left" vertical="center"/>
    </xf>
    <xf numFmtId="1" fontId="91" fillId="0" borderId="39" xfId="0" applyNumberFormat="1" applyFont="1" applyBorder="1" applyAlignment="1">
      <alignment horizontal="left" vertical="center"/>
    </xf>
    <xf numFmtId="1" fontId="93" fillId="0" borderId="16" xfId="0" applyNumberFormat="1" applyFont="1" applyBorder="1" applyAlignment="1">
      <alignment horizontal="left"/>
    </xf>
    <xf numFmtId="1" fontId="93" fillId="0" borderId="18" xfId="0" applyNumberFormat="1" applyFont="1" applyBorder="1" applyAlignment="1">
      <alignment horizontal="left"/>
    </xf>
    <xf numFmtId="1" fontId="93" fillId="0" borderId="0" xfId="0" applyNumberFormat="1" applyFont="1" applyAlignment="1">
      <alignment/>
    </xf>
    <xf numFmtId="1" fontId="90" fillId="0" borderId="15" xfId="0" applyNumberFormat="1" applyFont="1" applyBorder="1" applyAlignment="1">
      <alignment horizontal="left"/>
    </xf>
    <xf numFmtId="1" fontId="94" fillId="0" borderId="15" xfId="0" applyNumberFormat="1" applyFont="1" applyBorder="1" applyAlignment="1">
      <alignment horizontal="left"/>
    </xf>
    <xf numFmtId="1" fontId="90" fillId="0" borderId="40" xfId="0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left" vertical="center"/>
    </xf>
    <xf numFmtId="1" fontId="88" fillId="0" borderId="12" xfId="0" applyNumberFormat="1" applyFont="1" applyBorder="1" applyAlignment="1">
      <alignment horizontal="left" vertical="center"/>
    </xf>
    <xf numFmtId="1" fontId="88" fillId="0" borderId="10" xfId="0" applyNumberFormat="1" applyFont="1" applyBorder="1" applyAlignment="1">
      <alignment horizontal="left" vertical="center"/>
    </xf>
    <xf numFmtId="1" fontId="88" fillId="0" borderId="14" xfId="0" applyNumberFormat="1" applyFont="1" applyBorder="1" applyAlignment="1">
      <alignment horizontal="left"/>
    </xf>
    <xf numFmtId="1" fontId="88" fillId="0" borderId="12" xfId="0" applyNumberFormat="1" applyFont="1" applyBorder="1" applyAlignment="1">
      <alignment horizontal="left"/>
    </xf>
    <xf numFmtId="1" fontId="88" fillId="0" borderId="10" xfId="0" applyNumberFormat="1" applyFont="1" applyBorder="1" applyAlignment="1">
      <alignment horizontal="left"/>
    </xf>
    <xf numFmtId="1" fontId="88" fillId="0" borderId="12" xfId="44" applyNumberFormat="1" applyFont="1" applyBorder="1" applyAlignment="1">
      <alignment horizontal="left"/>
    </xf>
    <xf numFmtId="1" fontId="88" fillId="0" borderId="14" xfId="0" applyNumberFormat="1" applyFont="1" applyBorder="1" applyAlignment="1">
      <alignment horizontal="left" wrapText="1"/>
    </xf>
    <xf numFmtId="1" fontId="88" fillId="0" borderId="12" xfId="0" applyNumberFormat="1" applyFont="1" applyFill="1" applyBorder="1" applyAlignment="1">
      <alignment horizontal="left"/>
    </xf>
    <xf numFmtId="1" fontId="88" fillId="0" borderId="10" xfId="0" applyNumberFormat="1" applyFont="1" applyFill="1" applyBorder="1" applyAlignment="1">
      <alignment horizontal="left"/>
    </xf>
    <xf numFmtId="1" fontId="88" fillId="0" borderId="11" xfId="42" applyNumberFormat="1" applyFont="1" applyBorder="1" applyAlignment="1">
      <alignment horizontal="left"/>
    </xf>
    <xf numFmtId="1" fontId="88" fillId="0" borderId="12" xfId="42" applyNumberFormat="1" applyFont="1" applyBorder="1" applyAlignment="1">
      <alignment horizontal="left"/>
    </xf>
    <xf numFmtId="1" fontId="88" fillId="0" borderId="10" xfId="42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left"/>
    </xf>
    <xf numFmtId="1" fontId="89" fillId="0" borderId="11" xfId="0" applyNumberFormat="1" applyFont="1" applyBorder="1" applyAlignment="1">
      <alignment horizontal="left" vertical="center"/>
    </xf>
    <xf numFmtId="1" fontId="87" fillId="0" borderId="0" xfId="0" applyNumberFormat="1" applyFont="1" applyBorder="1" applyAlignment="1">
      <alignment horizontal="left"/>
    </xf>
    <xf numFmtId="1" fontId="89" fillId="0" borderId="12" xfId="0" applyNumberFormat="1" applyFont="1" applyBorder="1" applyAlignment="1">
      <alignment horizontal="left"/>
    </xf>
    <xf numFmtId="1" fontId="89" fillId="0" borderId="10" xfId="0" applyNumberFormat="1" applyFont="1" applyBorder="1" applyAlignment="1">
      <alignment horizontal="left"/>
    </xf>
    <xf numFmtId="1" fontId="89" fillId="0" borderId="11" xfId="0" applyNumberFormat="1" applyFont="1" applyBorder="1" applyAlignment="1">
      <alignment horizontal="left"/>
    </xf>
    <xf numFmtId="1" fontId="87" fillId="0" borderId="14" xfId="0" applyNumberFormat="1" applyFont="1" applyBorder="1" applyAlignment="1">
      <alignment horizontal="left"/>
    </xf>
    <xf numFmtId="1" fontId="87" fillId="0" borderId="12" xfId="0" applyNumberFormat="1" applyFont="1" applyBorder="1" applyAlignment="1">
      <alignment horizontal="left"/>
    </xf>
    <xf numFmtId="1" fontId="87" fillId="0" borderId="10" xfId="0" applyNumberFormat="1" applyFont="1" applyBorder="1" applyAlignment="1">
      <alignment horizontal="left"/>
    </xf>
    <xf numFmtId="1" fontId="90" fillId="0" borderId="41" xfId="0" applyNumberFormat="1" applyFont="1" applyBorder="1" applyAlignment="1">
      <alignment horizontal="left"/>
    </xf>
    <xf numFmtId="1" fontId="89" fillId="0" borderId="31" xfId="0" applyNumberFormat="1" applyFont="1" applyBorder="1" applyAlignment="1">
      <alignment horizontal="left" vertical="center"/>
    </xf>
    <xf numFmtId="1" fontId="88" fillId="0" borderId="29" xfId="0" applyNumberFormat="1" applyFont="1" applyBorder="1" applyAlignment="1">
      <alignment horizontal="left"/>
    </xf>
    <xf numFmtId="1" fontId="88" fillId="0" borderId="28" xfId="0" applyNumberFormat="1" applyFont="1" applyBorder="1" applyAlignment="1">
      <alignment horizontal="left"/>
    </xf>
    <xf numFmtId="1" fontId="88" fillId="0" borderId="29" xfId="0" applyNumberFormat="1" applyFont="1" applyFill="1" applyBorder="1" applyAlignment="1">
      <alignment horizontal="left"/>
    </xf>
    <xf numFmtId="1" fontId="88" fillId="0" borderId="28" xfId="0" applyNumberFormat="1" applyFont="1" applyBorder="1" applyAlignment="1">
      <alignment horizontal="left" vertical="center"/>
    </xf>
    <xf numFmtId="1" fontId="89" fillId="0" borderId="42" xfId="0" applyNumberFormat="1" applyFont="1" applyBorder="1" applyAlignment="1">
      <alignment horizontal="left" vertical="center"/>
    </xf>
    <xf numFmtId="1" fontId="85" fillId="0" borderId="18" xfId="0" applyNumberFormat="1" applyFont="1" applyBorder="1" applyAlignment="1">
      <alignment horizontal="left"/>
    </xf>
    <xf numFmtId="1" fontId="83" fillId="0" borderId="18" xfId="0" applyNumberFormat="1" applyFont="1" applyBorder="1" applyAlignment="1">
      <alignment horizontal="left"/>
    </xf>
    <xf numFmtId="1" fontId="87" fillId="0" borderId="0" xfId="0" applyNumberFormat="1" applyFont="1" applyAlignment="1">
      <alignment/>
    </xf>
    <xf numFmtId="1" fontId="85" fillId="0" borderId="16" xfId="0" applyNumberFormat="1" applyFont="1" applyBorder="1" applyAlignment="1">
      <alignment horizontal="left"/>
    </xf>
    <xf numFmtId="1" fontId="83" fillId="0" borderId="25" xfId="0" applyNumberFormat="1" applyFont="1" applyBorder="1" applyAlignment="1">
      <alignment horizontal="left" vertical="center"/>
    </xf>
    <xf numFmtId="1" fontId="84" fillId="0" borderId="25" xfId="0" applyNumberFormat="1" applyFont="1" applyBorder="1" applyAlignment="1">
      <alignment horizontal="left" vertical="center"/>
    </xf>
    <xf numFmtId="1" fontId="5" fillId="0" borderId="12" xfId="44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1" fontId="5" fillId="0" borderId="12" xfId="0" applyNumberFormat="1" applyFont="1" applyFill="1" applyBorder="1" applyAlignment="1">
      <alignment horizontal="left"/>
    </xf>
    <xf numFmtId="1" fontId="5" fillId="0" borderId="12" xfId="42" applyNumberFormat="1" applyFont="1" applyBorder="1" applyAlignment="1">
      <alignment horizontal="left"/>
    </xf>
    <xf numFmtId="2" fontId="84" fillId="0" borderId="15" xfId="0" applyNumberFormat="1" applyFont="1" applyBorder="1" applyAlignment="1">
      <alignment horizontal="left"/>
    </xf>
    <xf numFmtId="2" fontId="84" fillId="0" borderId="11" xfId="44" applyNumberFormat="1" applyFont="1" applyBorder="1" applyAlignment="1">
      <alignment horizontal="left"/>
    </xf>
    <xf numFmtId="2" fontId="84" fillId="0" borderId="12" xfId="0" applyNumberFormat="1" applyFont="1" applyFill="1" applyBorder="1" applyAlignment="1">
      <alignment horizontal="left"/>
    </xf>
    <xf numFmtId="2" fontId="84" fillId="0" borderId="12" xfId="42" applyNumberFormat="1" applyFont="1" applyBorder="1" applyAlignment="1">
      <alignment horizontal="left"/>
    </xf>
    <xf numFmtId="1" fontId="84" fillId="0" borderId="0" xfId="0" applyNumberFormat="1" applyFont="1" applyFill="1" applyAlignment="1">
      <alignment horizontal="left"/>
    </xf>
    <xf numFmtId="1" fontId="84" fillId="0" borderId="0" xfId="0" applyNumberFormat="1" applyFont="1" applyAlignment="1">
      <alignment/>
    </xf>
    <xf numFmtId="1" fontId="5" fillId="0" borderId="10" xfId="44" applyNumberFormat="1" applyFont="1" applyBorder="1" applyAlignment="1">
      <alignment horizontal="left"/>
    </xf>
    <xf numFmtId="1" fontId="84" fillId="0" borderId="13" xfId="0" applyNumberFormat="1" applyFont="1" applyBorder="1" applyAlignment="1">
      <alignment horizontal="left"/>
    </xf>
    <xf numFmtId="1" fontId="84" fillId="0" borderId="21" xfId="0" applyNumberFormat="1" applyFont="1" applyBorder="1" applyAlignment="1">
      <alignment horizontal="left"/>
    </xf>
    <xf numFmtId="0" fontId="91" fillId="0" borderId="43" xfId="0" applyFont="1" applyBorder="1" applyAlignment="1">
      <alignment horizontal="left" vertical="center"/>
    </xf>
    <xf numFmtId="0" fontId="91" fillId="0" borderId="44" xfId="0" applyFont="1" applyBorder="1" applyAlignment="1">
      <alignment horizontal="left" vertical="center"/>
    </xf>
    <xf numFmtId="1" fontId="90" fillId="0" borderId="10" xfId="0" applyNumberFormat="1" applyFont="1" applyBorder="1" applyAlignment="1">
      <alignment horizontal="left"/>
    </xf>
    <xf numFmtId="1" fontId="93" fillId="0" borderId="21" xfId="0" applyNumberFormat="1" applyFont="1" applyBorder="1" applyAlignment="1">
      <alignment horizontal="left"/>
    </xf>
    <xf numFmtId="0" fontId="93" fillId="0" borderId="45" xfId="0" applyFont="1" applyBorder="1" applyAlignment="1">
      <alignment horizontal="left"/>
    </xf>
    <xf numFmtId="2" fontId="84" fillId="0" borderId="14" xfId="0" applyNumberFormat="1" applyFont="1" applyBorder="1" applyAlignment="1">
      <alignment horizontal="left" vertical="center"/>
    </xf>
    <xf numFmtId="0" fontId="90" fillId="0" borderId="46" xfId="0" applyFont="1" applyBorder="1" applyAlignment="1">
      <alignment horizontal="left"/>
    </xf>
    <xf numFmtId="2" fontId="89" fillId="0" borderId="24" xfId="0" applyNumberFormat="1" applyFont="1" applyBorder="1" applyAlignment="1">
      <alignment horizontal="left"/>
    </xf>
    <xf numFmtId="0" fontId="90" fillId="0" borderId="42" xfId="0" applyFont="1" applyBorder="1" applyAlignment="1">
      <alignment horizontal="left"/>
    </xf>
    <xf numFmtId="2" fontId="88" fillId="0" borderId="31" xfId="0" applyNumberFormat="1" applyFont="1" applyBorder="1" applyAlignment="1">
      <alignment horizontal="left"/>
    </xf>
    <xf numFmtId="2" fontId="88" fillId="0" borderId="29" xfId="0" applyNumberFormat="1" applyFont="1" applyBorder="1" applyAlignment="1">
      <alignment horizontal="left"/>
    </xf>
    <xf numFmtId="2" fontId="88" fillId="0" borderId="32" xfId="0" applyNumberFormat="1" applyFont="1" applyBorder="1" applyAlignment="1">
      <alignment horizontal="left"/>
    </xf>
    <xf numFmtId="2" fontId="88" fillId="0" borderId="28" xfId="0" applyNumberFormat="1" applyFont="1" applyBorder="1" applyAlignment="1">
      <alignment horizontal="left"/>
    </xf>
    <xf numFmtId="2" fontId="88" fillId="0" borderId="28" xfId="0" applyNumberFormat="1" applyFont="1" applyFill="1" applyBorder="1" applyAlignment="1">
      <alignment horizontal="left"/>
    </xf>
    <xf numFmtId="2" fontId="88" fillId="0" borderId="29" xfId="42" applyNumberFormat="1" applyFont="1" applyBorder="1" applyAlignment="1">
      <alignment horizontal="left"/>
    </xf>
    <xf numFmtId="2" fontId="88" fillId="0" borderId="28" xfId="42" applyNumberFormat="1" applyFont="1" applyBorder="1" applyAlignment="1">
      <alignment horizontal="left"/>
    </xf>
    <xf numFmtId="2" fontId="89" fillId="0" borderId="30" xfId="0" applyNumberFormat="1" applyFont="1" applyBorder="1" applyAlignment="1">
      <alignment horizontal="left"/>
    </xf>
    <xf numFmtId="2" fontId="88" fillId="0" borderId="31" xfId="42" applyNumberFormat="1" applyFont="1" applyBorder="1" applyAlignment="1">
      <alignment horizontal="left"/>
    </xf>
    <xf numFmtId="2" fontId="89" fillId="0" borderId="42" xfId="0" applyNumberFormat="1" applyFont="1" applyBorder="1" applyAlignment="1">
      <alignment horizontal="left"/>
    </xf>
    <xf numFmtId="2" fontId="88" fillId="0" borderId="47" xfId="0" applyNumberFormat="1" applyFont="1" applyBorder="1" applyAlignment="1">
      <alignment horizontal="left"/>
    </xf>
    <xf numFmtId="2" fontId="88" fillId="0" borderId="48" xfId="0" applyNumberFormat="1" applyFont="1" applyBorder="1" applyAlignment="1">
      <alignment horizontal="left"/>
    </xf>
    <xf numFmtId="2" fontId="88" fillId="0" borderId="49" xfId="0" applyNumberFormat="1" applyFont="1" applyBorder="1" applyAlignment="1">
      <alignment horizontal="left"/>
    </xf>
    <xf numFmtId="2" fontId="88" fillId="0" borderId="50" xfId="0" applyNumberFormat="1" applyFont="1" applyBorder="1" applyAlignment="1">
      <alignment horizontal="left"/>
    </xf>
    <xf numFmtId="2" fontId="88" fillId="0" borderId="50" xfId="0" applyNumberFormat="1" applyFont="1" applyFill="1" applyBorder="1" applyAlignment="1">
      <alignment horizontal="left"/>
    </xf>
    <xf numFmtId="2" fontId="88" fillId="0" borderId="48" xfId="42" applyNumberFormat="1" applyFont="1" applyBorder="1" applyAlignment="1">
      <alignment horizontal="left"/>
    </xf>
    <xf numFmtId="2" fontId="88" fillId="0" borderId="50" xfId="42" applyNumberFormat="1" applyFont="1" applyBorder="1" applyAlignment="1">
      <alignment horizontal="left"/>
    </xf>
    <xf numFmtId="2" fontId="89" fillId="0" borderId="51" xfId="0" applyNumberFormat="1" applyFont="1" applyBorder="1" applyAlignment="1">
      <alignment horizontal="left"/>
    </xf>
    <xf numFmtId="2" fontId="88" fillId="0" borderId="47" xfId="42" applyNumberFormat="1" applyFont="1" applyBorder="1" applyAlignment="1">
      <alignment horizontal="left"/>
    </xf>
    <xf numFmtId="2" fontId="89" fillId="0" borderId="52" xfId="0" applyNumberFormat="1" applyFont="1" applyBorder="1" applyAlignment="1">
      <alignment horizontal="left"/>
    </xf>
    <xf numFmtId="2" fontId="84" fillId="0" borderId="29" xfId="0" applyNumberFormat="1" applyFont="1" applyBorder="1" applyAlignment="1">
      <alignment horizontal="left" vertical="center"/>
    </xf>
    <xf numFmtId="2" fontId="84" fillId="0" borderId="32" xfId="0" applyNumberFormat="1" applyFont="1" applyBorder="1" applyAlignment="1">
      <alignment horizontal="left" vertical="center"/>
    </xf>
    <xf numFmtId="2" fontId="84" fillId="0" borderId="31" xfId="0" applyNumberFormat="1" applyFont="1" applyBorder="1" applyAlignment="1">
      <alignment horizontal="left"/>
    </xf>
    <xf numFmtId="0" fontId="84" fillId="0" borderId="29" xfId="0" applyFont="1" applyBorder="1" applyAlignment="1">
      <alignment horizontal="left"/>
    </xf>
    <xf numFmtId="0" fontId="84" fillId="0" borderId="28" xfId="0" applyFont="1" applyBorder="1" applyAlignment="1">
      <alignment horizontal="left"/>
    </xf>
    <xf numFmtId="2" fontId="84" fillId="0" borderId="29" xfId="0" applyNumberFormat="1" applyFont="1" applyBorder="1" applyAlignment="1">
      <alignment horizontal="left"/>
    </xf>
    <xf numFmtId="2" fontId="84" fillId="0" borderId="28" xfId="0" applyNumberFormat="1" applyFont="1" applyBorder="1" applyAlignment="1">
      <alignment horizontal="left"/>
    </xf>
    <xf numFmtId="0" fontId="93" fillId="0" borderId="52" xfId="0" applyFont="1" applyBorder="1" applyAlignment="1">
      <alignment horizontal="left"/>
    </xf>
    <xf numFmtId="2" fontId="83" fillId="0" borderId="48" xfId="0" applyNumberFormat="1" applyFont="1" applyBorder="1" applyAlignment="1">
      <alignment horizontal="left" vertical="center"/>
    </xf>
    <xf numFmtId="2" fontId="83" fillId="0" borderId="49" xfId="0" applyNumberFormat="1" applyFont="1" applyBorder="1" applyAlignment="1">
      <alignment horizontal="left" vertical="center"/>
    </xf>
    <xf numFmtId="2" fontId="83" fillId="0" borderId="47" xfId="0" applyNumberFormat="1" applyFont="1" applyBorder="1" applyAlignment="1">
      <alignment horizontal="left"/>
    </xf>
    <xf numFmtId="0" fontId="83" fillId="0" borderId="48" xfId="0" applyFont="1" applyBorder="1" applyAlignment="1">
      <alignment horizontal="left"/>
    </xf>
    <xf numFmtId="0" fontId="83" fillId="0" borderId="50" xfId="0" applyFont="1" applyBorder="1" applyAlignment="1">
      <alignment horizontal="left"/>
    </xf>
    <xf numFmtId="2" fontId="83" fillId="0" borderId="48" xfId="0" applyNumberFormat="1" applyFont="1" applyBorder="1" applyAlignment="1">
      <alignment horizontal="left"/>
    </xf>
    <xf numFmtId="2" fontId="83" fillId="0" borderId="50" xfId="0" applyNumberFormat="1" applyFont="1" applyBorder="1" applyAlignment="1">
      <alignment horizontal="left"/>
    </xf>
    <xf numFmtId="0" fontId="93" fillId="0" borderId="50" xfId="0" applyFont="1" applyBorder="1" applyAlignment="1">
      <alignment horizontal="left"/>
    </xf>
    <xf numFmtId="1" fontId="85" fillId="0" borderId="40" xfId="0" applyNumberFormat="1" applyFont="1" applyBorder="1" applyAlignment="1">
      <alignment horizontal="left"/>
    </xf>
    <xf numFmtId="1" fontId="87" fillId="0" borderId="0" xfId="0" applyNumberFormat="1" applyFont="1" applyFill="1" applyAlignment="1">
      <alignment horizontal="left"/>
    </xf>
    <xf numFmtId="1" fontId="84" fillId="0" borderId="12" xfId="0" applyNumberFormat="1" applyFont="1" applyFill="1" applyBorder="1" applyAlignment="1">
      <alignment horizontal="left" wrapText="1"/>
    </xf>
    <xf numFmtId="1" fontId="84" fillId="0" borderId="12" xfId="0" applyNumberFormat="1" applyFont="1" applyFill="1" applyBorder="1" applyAlignment="1">
      <alignment horizontal="left" vertical="top" shrinkToFit="1"/>
    </xf>
    <xf numFmtId="1" fontId="84" fillId="0" borderId="12" xfId="0" applyNumberFormat="1" applyFont="1" applyFill="1" applyBorder="1" applyAlignment="1">
      <alignment horizontal="left" vertical="top" wrapText="1"/>
    </xf>
    <xf numFmtId="1" fontId="83" fillId="0" borderId="12" xfId="0" applyNumberFormat="1" applyFont="1" applyFill="1" applyBorder="1" applyAlignment="1">
      <alignment horizontal="left" vertical="top" shrinkToFit="1"/>
    </xf>
    <xf numFmtId="1" fontId="84" fillId="0" borderId="10" xfId="0" applyNumberFormat="1" applyFont="1" applyFill="1" applyBorder="1" applyAlignment="1">
      <alignment horizontal="left" wrapText="1"/>
    </xf>
    <xf numFmtId="1" fontId="84" fillId="0" borderId="10" xfId="0" applyNumberFormat="1" applyFont="1" applyFill="1" applyBorder="1" applyAlignment="1">
      <alignment horizontal="left" vertical="top" shrinkToFit="1"/>
    </xf>
    <xf numFmtId="1" fontId="84" fillId="0" borderId="10" xfId="0" applyNumberFormat="1" applyFont="1" applyFill="1" applyBorder="1" applyAlignment="1">
      <alignment horizontal="left" vertical="top" wrapText="1"/>
    </xf>
    <xf numFmtId="1" fontId="83" fillId="0" borderId="10" xfId="0" applyNumberFormat="1" applyFont="1" applyFill="1" applyBorder="1" applyAlignment="1">
      <alignment horizontal="left" vertical="top" shrinkToFit="1"/>
    </xf>
    <xf numFmtId="1" fontId="5" fillId="0" borderId="10" xfId="0" applyNumberFormat="1" applyFont="1" applyFill="1" applyBorder="1" applyAlignment="1">
      <alignment horizontal="left"/>
    </xf>
    <xf numFmtId="2" fontId="84" fillId="0" borderId="10" xfId="0" applyNumberFormat="1" applyFont="1" applyFill="1" applyBorder="1" applyAlignment="1">
      <alignment horizontal="left"/>
    </xf>
    <xf numFmtId="1" fontId="84" fillId="0" borderId="24" xfId="42" applyNumberFormat="1" applyFont="1" applyBorder="1" applyAlignment="1">
      <alignment horizontal="left"/>
    </xf>
    <xf numFmtId="1" fontId="5" fillId="0" borderId="10" xfId="42" applyNumberFormat="1" applyFont="1" applyBorder="1" applyAlignment="1">
      <alignment horizontal="left"/>
    </xf>
    <xf numFmtId="2" fontId="84" fillId="0" borderId="10" xfId="42" applyNumberFormat="1" applyFont="1" applyBorder="1" applyAlignment="1">
      <alignment horizontal="left"/>
    </xf>
    <xf numFmtId="1" fontId="84" fillId="0" borderId="0" xfId="0" applyNumberFormat="1" applyFont="1" applyBorder="1" applyAlignment="1">
      <alignment horizontal="left"/>
    </xf>
    <xf numFmtId="1" fontId="84" fillId="0" borderId="27" xfId="0" applyNumberFormat="1" applyFont="1" applyBorder="1" applyAlignment="1">
      <alignment horizontal="left"/>
    </xf>
    <xf numFmtId="2" fontId="84" fillId="0" borderId="13" xfId="42" applyNumberFormat="1" applyFont="1" applyBorder="1" applyAlignment="1">
      <alignment horizontal="left"/>
    </xf>
    <xf numFmtId="2" fontId="84" fillId="0" borderId="21" xfId="42" applyNumberFormat="1" applyFont="1" applyBorder="1" applyAlignment="1">
      <alignment horizontal="left"/>
    </xf>
    <xf numFmtId="2" fontId="83" fillId="0" borderId="53" xfId="0" applyNumberFormat="1" applyFont="1" applyBorder="1" applyAlignment="1">
      <alignment horizontal="left"/>
    </xf>
    <xf numFmtId="2" fontId="84" fillId="0" borderId="53" xfId="0" applyNumberFormat="1" applyFont="1" applyBorder="1" applyAlignment="1">
      <alignment horizontal="left"/>
    </xf>
    <xf numFmtId="2" fontId="84" fillId="0" borderId="44" xfId="0" applyNumberFormat="1" applyFont="1" applyBorder="1" applyAlignment="1">
      <alignment horizontal="left"/>
    </xf>
    <xf numFmtId="2" fontId="85" fillId="0" borderId="12" xfId="0" applyNumberFormat="1" applyFont="1" applyBorder="1" applyAlignment="1">
      <alignment horizontal="left"/>
    </xf>
    <xf numFmtId="2" fontId="85" fillId="0" borderId="10" xfId="0" applyNumberFormat="1" applyFont="1" applyBorder="1" applyAlignment="1">
      <alignment horizontal="left"/>
    </xf>
    <xf numFmtId="2" fontId="84" fillId="0" borderId="11" xfId="0" applyNumberFormat="1" applyFont="1" applyFill="1" applyBorder="1" applyAlignment="1">
      <alignment horizontal="left"/>
    </xf>
    <xf numFmtId="2" fontId="84" fillId="0" borderId="11" xfId="42" applyNumberFormat="1" applyFont="1" applyBorder="1" applyAlignment="1">
      <alignment horizontal="left"/>
    </xf>
    <xf numFmtId="10" fontId="84" fillId="0" borderId="11" xfId="0" applyNumberFormat="1" applyFont="1" applyBorder="1" applyAlignment="1">
      <alignment horizontal="left"/>
    </xf>
    <xf numFmtId="10" fontId="84" fillId="0" borderId="12" xfId="0" applyNumberFormat="1" applyFont="1" applyBorder="1" applyAlignment="1">
      <alignment horizontal="left"/>
    </xf>
    <xf numFmtId="10" fontId="83" fillId="0" borderId="10" xfId="0" applyNumberFormat="1" applyFont="1" applyBorder="1" applyAlignment="1">
      <alignment horizontal="left" vertical="center"/>
    </xf>
    <xf numFmtId="10" fontId="84" fillId="0" borderId="11" xfId="44" applyNumberFormat="1" applyFont="1" applyBorder="1" applyAlignment="1">
      <alignment horizontal="left"/>
    </xf>
    <xf numFmtId="10" fontId="84" fillId="0" borderId="12" xfId="44" applyNumberFormat="1" applyFont="1" applyBorder="1" applyAlignment="1">
      <alignment horizontal="left"/>
    </xf>
    <xf numFmtId="10" fontId="84" fillId="0" borderId="10" xfId="44" applyNumberFormat="1" applyFont="1" applyBorder="1" applyAlignment="1">
      <alignment horizontal="left"/>
    </xf>
    <xf numFmtId="10" fontId="84" fillId="0" borderId="10" xfId="0" applyNumberFormat="1" applyFont="1" applyBorder="1" applyAlignment="1">
      <alignment horizontal="left"/>
    </xf>
    <xf numFmtId="2" fontId="84" fillId="0" borderId="13" xfId="0" applyNumberFormat="1" applyFont="1" applyBorder="1" applyAlignment="1">
      <alignment horizontal="left" vertical="center"/>
    </xf>
    <xf numFmtId="2" fontId="84" fillId="0" borderId="54" xfId="0" applyNumberFormat="1" applyFont="1" applyBorder="1" applyAlignment="1">
      <alignment horizontal="left"/>
    </xf>
    <xf numFmtId="2" fontId="84" fillId="0" borderId="21" xfId="0" applyNumberFormat="1" applyFont="1" applyBorder="1" applyAlignment="1">
      <alignment horizontal="left"/>
    </xf>
    <xf numFmtId="2" fontId="84" fillId="0" borderId="55" xfId="0" applyNumberFormat="1" applyFont="1" applyBorder="1" applyAlignment="1">
      <alignment horizontal="left"/>
    </xf>
    <xf numFmtId="2" fontId="84" fillId="0" borderId="22" xfId="0" applyNumberFormat="1" applyFont="1" applyBorder="1" applyAlignment="1">
      <alignment horizontal="left"/>
    </xf>
    <xf numFmtId="3" fontId="85" fillId="0" borderId="22" xfId="0" applyNumberFormat="1" applyFont="1" applyBorder="1" applyAlignment="1">
      <alignment horizontal="left"/>
    </xf>
    <xf numFmtId="3" fontId="85" fillId="0" borderId="13" xfId="0" applyNumberFormat="1" applyFont="1" applyBorder="1" applyAlignment="1">
      <alignment horizontal="left"/>
    </xf>
    <xf numFmtId="3" fontId="85" fillId="0" borderId="21" xfId="0" applyNumberFormat="1" applyFont="1" applyBorder="1" applyAlignment="1">
      <alignment horizontal="left"/>
    </xf>
    <xf numFmtId="2" fontId="84" fillId="0" borderId="54" xfId="0" applyNumberFormat="1" applyFont="1" applyFill="1" applyBorder="1" applyAlignment="1">
      <alignment horizontal="left"/>
    </xf>
    <xf numFmtId="2" fontId="84" fillId="0" borderId="13" xfId="0" applyNumberFormat="1" applyFont="1" applyFill="1" applyBorder="1" applyAlignment="1">
      <alignment horizontal="left"/>
    </xf>
    <xf numFmtId="2" fontId="84" fillId="0" borderId="21" xfId="0" applyNumberFormat="1" applyFont="1" applyFill="1" applyBorder="1" applyAlignment="1">
      <alignment horizontal="left"/>
    </xf>
    <xf numFmtId="2" fontId="84" fillId="0" borderId="54" xfId="42" applyNumberFormat="1" applyFont="1" applyBorder="1" applyAlignment="1">
      <alignment horizontal="left"/>
    </xf>
    <xf numFmtId="2" fontId="83" fillId="0" borderId="38" xfId="0" applyNumberFormat="1" applyFont="1" applyBorder="1" applyAlignment="1">
      <alignment horizontal="left" vertical="center"/>
    </xf>
    <xf numFmtId="2" fontId="83" fillId="0" borderId="16" xfId="0" applyNumberFormat="1" applyFont="1" applyBorder="1" applyAlignment="1">
      <alignment horizontal="left" vertical="center"/>
    </xf>
    <xf numFmtId="2" fontId="83" fillId="0" borderId="18" xfId="0" applyNumberFormat="1" applyFont="1" applyBorder="1" applyAlignment="1">
      <alignment horizontal="left" vertical="center"/>
    </xf>
    <xf numFmtId="0" fontId="83" fillId="0" borderId="38" xfId="0" applyFont="1" applyBorder="1" applyAlignment="1">
      <alignment horizontal="left" vertical="center"/>
    </xf>
    <xf numFmtId="0" fontId="83" fillId="0" borderId="16" xfId="0" applyFont="1" applyBorder="1" applyAlignment="1">
      <alignment horizontal="left" vertical="center"/>
    </xf>
    <xf numFmtId="0" fontId="83" fillId="0" borderId="18" xfId="0" applyFont="1" applyBorder="1" applyAlignment="1">
      <alignment horizontal="left" vertical="center"/>
    </xf>
    <xf numFmtId="2" fontId="83" fillId="0" borderId="14" xfId="0" applyNumberFormat="1" applyFont="1" applyBorder="1" applyAlignment="1">
      <alignment horizontal="left" wrapText="1"/>
    </xf>
    <xf numFmtId="2" fontId="92" fillId="0" borderId="14" xfId="0" applyNumberFormat="1" applyFont="1" applyBorder="1" applyAlignment="1">
      <alignment horizontal="left"/>
    </xf>
    <xf numFmtId="2" fontId="92" fillId="0" borderId="12" xfId="0" applyNumberFormat="1" applyFont="1" applyBorder="1" applyAlignment="1">
      <alignment horizontal="left"/>
    </xf>
    <xf numFmtId="2" fontId="83" fillId="0" borderId="14" xfId="42" applyNumberFormat="1" applyFont="1" applyBorder="1" applyAlignment="1">
      <alignment horizontal="left"/>
    </xf>
    <xf numFmtId="0" fontId="83" fillId="0" borderId="39" xfId="0" applyFont="1" applyBorder="1" applyAlignment="1">
      <alignment horizontal="left" vertical="center"/>
    </xf>
    <xf numFmtId="0" fontId="83" fillId="0" borderId="19" xfId="0" applyFont="1" applyBorder="1" applyAlignment="1">
      <alignment horizontal="left" vertical="center"/>
    </xf>
    <xf numFmtId="2" fontId="85" fillId="0" borderId="19" xfId="0" applyNumberFormat="1" applyFont="1" applyBorder="1" applyAlignment="1">
      <alignment horizontal="left"/>
    </xf>
    <xf numFmtId="2" fontId="85" fillId="0" borderId="16" xfId="0" applyNumberFormat="1" applyFont="1" applyBorder="1" applyAlignment="1">
      <alignment horizontal="left"/>
    </xf>
    <xf numFmtId="2" fontId="85" fillId="0" borderId="18" xfId="0" applyNumberFormat="1" applyFont="1" applyBorder="1" applyAlignment="1">
      <alignment horizontal="left"/>
    </xf>
    <xf numFmtId="2" fontId="83" fillId="0" borderId="53" xfId="0" applyNumberFormat="1" applyFont="1" applyBorder="1" applyAlignment="1">
      <alignment horizontal="left" vertical="center"/>
    </xf>
    <xf numFmtId="2" fontId="83" fillId="0" borderId="56" xfId="0" applyNumberFormat="1" applyFont="1" applyBorder="1" applyAlignment="1">
      <alignment horizontal="left" vertical="center"/>
    </xf>
    <xf numFmtId="2" fontId="84" fillId="0" borderId="55" xfId="0" applyNumberFormat="1" applyFont="1" applyBorder="1" applyAlignment="1">
      <alignment horizontal="left" vertical="center"/>
    </xf>
    <xf numFmtId="0" fontId="83" fillId="0" borderId="0" xfId="0" applyFont="1" applyFill="1" applyBorder="1" applyAlignment="1">
      <alignment/>
    </xf>
    <xf numFmtId="2" fontId="83" fillId="0" borderId="57" xfId="0" applyNumberFormat="1" applyFont="1" applyBorder="1" applyAlignment="1">
      <alignment horizontal="left" vertical="center"/>
    </xf>
    <xf numFmtId="2" fontId="84" fillId="0" borderId="22" xfId="0" applyNumberFormat="1" applyFont="1" applyBorder="1" applyAlignment="1">
      <alignment horizontal="left" vertical="center"/>
    </xf>
    <xf numFmtId="0" fontId="92" fillId="0" borderId="46" xfId="0" applyFont="1" applyBorder="1" applyAlignment="1">
      <alignment horizontal="left"/>
    </xf>
    <xf numFmtId="0" fontId="92" fillId="0" borderId="24" xfId="0" applyFont="1" applyBorder="1" applyAlignment="1">
      <alignment horizontal="left"/>
    </xf>
    <xf numFmtId="0" fontId="92" fillId="0" borderId="58" xfId="0" applyFont="1" applyBorder="1" applyAlignment="1">
      <alignment horizontal="left"/>
    </xf>
    <xf numFmtId="0" fontId="95" fillId="0" borderId="40" xfId="0" applyFont="1" applyBorder="1" applyAlignment="1">
      <alignment horizontal="left"/>
    </xf>
    <xf numFmtId="0" fontId="96" fillId="0" borderId="40" xfId="0" applyFont="1" applyBorder="1" applyAlignment="1">
      <alignment horizontal="left"/>
    </xf>
    <xf numFmtId="0" fontId="95" fillId="0" borderId="59" xfId="0" applyFont="1" applyBorder="1" applyAlignment="1">
      <alignment horizontal="left"/>
    </xf>
    <xf numFmtId="0" fontId="95" fillId="0" borderId="60" xfId="0" applyFont="1" applyBorder="1" applyAlignment="1">
      <alignment horizontal="left"/>
    </xf>
    <xf numFmtId="1" fontId="83" fillId="0" borderId="24" xfId="0" applyNumberFormat="1" applyFont="1" applyBorder="1" applyAlignment="1">
      <alignment horizontal="left" vertical="center"/>
    </xf>
    <xf numFmtId="1" fontId="83" fillId="0" borderId="26" xfId="0" applyNumberFormat="1" applyFont="1" applyBorder="1" applyAlignment="1">
      <alignment horizontal="left" vertical="center"/>
    </xf>
    <xf numFmtId="1" fontId="84" fillId="0" borderId="17" xfId="0" applyNumberFormat="1" applyFont="1" applyBorder="1" applyAlignment="1">
      <alignment horizontal="left"/>
    </xf>
    <xf numFmtId="1" fontId="84" fillId="0" borderId="26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2" fontId="84" fillId="0" borderId="61" xfId="0" applyNumberFormat="1" applyFont="1" applyBorder="1" applyAlignment="1">
      <alignment horizontal="left"/>
    </xf>
    <xf numFmtId="2" fontId="84" fillId="0" borderId="62" xfId="0" applyNumberFormat="1" applyFont="1" applyBorder="1" applyAlignment="1">
      <alignment horizontal="left"/>
    </xf>
    <xf numFmtId="2" fontId="84" fillId="0" borderId="57" xfId="0" applyNumberFormat="1" applyFont="1" applyBorder="1" applyAlignment="1">
      <alignment horizontal="left"/>
    </xf>
    <xf numFmtId="2" fontId="84" fillId="0" borderId="53" xfId="44" applyNumberFormat="1" applyFont="1" applyBorder="1" applyAlignment="1">
      <alignment horizontal="left"/>
    </xf>
    <xf numFmtId="2" fontId="84" fillId="0" borderId="44" xfId="44" applyNumberFormat="1" applyFont="1" applyBorder="1" applyAlignment="1">
      <alignment horizontal="left"/>
    </xf>
    <xf numFmtId="2" fontId="84" fillId="0" borderId="53" xfId="0" applyNumberFormat="1" applyFont="1" applyFill="1" applyBorder="1" applyAlignment="1">
      <alignment horizontal="left" vertical="center" wrapText="1"/>
    </xf>
    <xf numFmtId="2" fontId="84" fillId="0" borderId="44" xfId="0" applyNumberFormat="1" applyFont="1" applyFill="1" applyBorder="1" applyAlignment="1">
      <alignment horizontal="left" vertical="center" wrapText="1"/>
    </xf>
    <xf numFmtId="2" fontId="84" fillId="0" borderId="53" xfId="0" applyNumberFormat="1" applyFont="1" applyFill="1" applyBorder="1" applyAlignment="1">
      <alignment horizontal="left"/>
    </xf>
    <xf numFmtId="2" fontId="84" fillId="0" borderId="44" xfId="0" applyNumberFormat="1" applyFont="1" applyFill="1" applyBorder="1" applyAlignment="1">
      <alignment horizontal="left"/>
    </xf>
    <xf numFmtId="2" fontId="84" fillId="0" borderId="53" xfId="42" applyNumberFormat="1" applyFont="1" applyBorder="1" applyAlignment="1">
      <alignment horizontal="left"/>
    </xf>
    <xf numFmtId="2" fontId="84" fillId="0" borderId="44" xfId="42" applyNumberFormat="1" applyFont="1" applyBorder="1" applyAlignment="1">
      <alignment horizontal="left"/>
    </xf>
    <xf numFmtId="2" fontId="83" fillId="0" borderId="44" xfId="0" applyNumberFormat="1" applyFont="1" applyBorder="1" applyAlignment="1">
      <alignment horizontal="left"/>
    </xf>
    <xf numFmtId="2" fontId="84" fillId="0" borderId="43" xfId="0" applyNumberFormat="1" applyFont="1" applyBorder="1" applyAlignment="1">
      <alignment horizontal="left"/>
    </xf>
    <xf numFmtId="2" fontId="97" fillId="0" borderId="15" xfId="0" applyNumberFormat="1" applyFont="1" applyBorder="1" applyAlignment="1">
      <alignment horizontal="left"/>
    </xf>
    <xf numFmtId="0" fontId="85" fillId="0" borderId="23" xfId="0" applyFont="1" applyBorder="1" applyAlignment="1">
      <alignment horizontal="left"/>
    </xf>
    <xf numFmtId="1" fontId="84" fillId="0" borderId="26" xfId="42" applyNumberFormat="1" applyFont="1" applyBorder="1" applyAlignment="1">
      <alignment horizontal="left"/>
    </xf>
    <xf numFmtId="172" fontId="85" fillId="0" borderId="12" xfId="0" applyNumberFormat="1" applyFont="1" applyBorder="1" applyAlignment="1">
      <alignment horizontal="left"/>
    </xf>
    <xf numFmtId="3" fontId="85" fillId="0" borderId="53" xfId="0" applyNumberFormat="1" applyFont="1" applyBorder="1" applyAlignment="1">
      <alignment horizontal="left"/>
    </xf>
    <xf numFmtId="3" fontId="85" fillId="0" borderId="44" xfId="0" applyNumberFormat="1" applyFont="1" applyBorder="1" applyAlignment="1">
      <alignment horizontal="left"/>
    </xf>
    <xf numFmtId="172" fontId="85" fillId="0" borderId="10" xfId="0" applyNumberFormat="1" applyFont="1" applyBorder="1" applyAlignment="1">
      <alignment horizontal="left"/>
    </xf>
    <xf numFmtId="1" fontId="84" fillId="0" borderId="39" xfId="0" applyNumberFormat="1" applyFont="1" applyBorder="1" applyAlignment="1">
      <alignment horizontal="left"/>
    </xf>
    <xf numFmtId="1" fontId="92" fillId="0" borderId="23" xfId="0" applyNumberFormat="1" applyFont="1" applyBorder="1" applyAlignment="1">
      <alignment horizontal="left"/>
    </xf>
    <xf numFmtId="1" fontId="84" fillId="0" borderId="37" xfId="0" applyNumberFormat="1" applyFont="1" applyBorder="1" applyAlignment="1">
      <alignment horizontal="left"/>
    </xf>
    <xf numFmtId="1" fontId="83" fillId="0" borderId="24" xfId="0" applyNumberFormat="1" applyFont="1" applyBorder="1" applyAlignment="1">
      <alignment horizontal="left"/>
    </xf>
    <xf numFmtId="1" fontId="83" fillId="0" borderId="26" xfId="0" applyNumberFormat="1" applyFont="1" applyBorder="1" applyAlignment="1">
      <alignment horizontal="left"/>
    </xf>
    <xf numFmtId="1" fontId="83" fillId="0" borderId="33" xfId="0" applyNumberFormat="1" applyFont="1" applyBorder="1" applyAlignment="1">
      <alignment horizontal="left"/>
    </xf>
    <xf numFmtId="1" fontId="84" fillId="0" borderId="20" xfId="42" applyNumberFormat="1" applyFont="1" applyBorder="1" applyAlignment="1">
      <alignment horizontal="left"/>
    </xf>
    <xf numFmtId="1" fontId="84" fillId="0" borderId="33" xfId="42" applyNumberFormat="1" applyFont="1" applyBorder="1" applyAlignment="1">
      <alignment horizontal="left"/>
    </xf>
    <xf numFmtId="1" fontId="84" fillId="0" borderId="37" xfId="42" applyNumberFormat="1" applyFont="1" applyBorder="1" applyAlignment="1">
      <alignment horizontal="left"/>
    </xf>
    <xf numFmtId="1" fontId="84" fillId="0" borderId="42" xfId="42" applyNumberFormat="1" applyFont="1" applyBorder="1" applyAlignment="1">
      <alignment horizontal="left"/>
    </xf>
    <xf numFmtId="1" fontId="84" fillId="0" borderId="60" xfId="0" applyNumberFormat="1" applyFont="1" applyFill="1" applyBorder="1" applyAlignment="1">
      <alignment horizontal="left"/>
    </xf>
    <xf numFmtId="1" fontId="84" fillId="0" borderId="40" xfId="0" applyNumberFormat="1" applyFont="1" applyFill="1" applyBorder="1" applyAlignment="1">
      <alignment horizontal="left"/>
    </xf>
    <xf numFmtId="1" fontId="84" fillId="0" borderId="40" xfId="0" applyNumberFormat="1" applyFont="1" applyBorder="1" applyAlignment="1">
      <alignment horizontal="left"/>
    </xf>
    <xf numFmtId="1" fontId="84" fillId="0" borderId="41" xfId="0" applyNumberFormat="1" applyFont="1" applyFill="1" applyBorder="1" applyAlignment="1">
      <alignment horizontal="left"/>
    </xf>
    <xf numFmtId="1" fontId="85" fillId="0" borderId="17" xfId="0" applyNumberFormat="1" applyFont="1" applyBorder="1" applyAlignment="1">
      <alignment horizontal="left"/>
    </xf>
    <xf numFmtId="1" fontId="84" fillId="0" borderId="60" xfId="0" applyNumberFormat="1" applyFont="1" applyBorder="1" applyAlignment="1">
      <alignment horizontal="left" wrapText="1"/>
    </xf>
    <xf numFmtId="1" fontId="84" fillId="0" borderId="40" xfId="0" applyNumberFormat="1" applyFont="1" applyBorder="1" applyAlignment="1">
      <alignment horizontal="left" wrapText="1"/>
    </xf>
    <xf numFmtId="1" fontId="84" fillId="0" borderId="41" xfId="0" applyNumberFormat="1" applyFont="1" applyBorder="1" applyAlignment="1">
      <alignment horizontal="left" wrapText="1"/>
    </xf>
    <xf numFmtId="1" fontId="84" fillId="0" borderId="60" xfId="0" applyNumberFormat="1" applyFont="1" applyBorder="1" applyAlignment="1">
      <alignment horizontal="left"/>
    </xf>
    <xf numFmtId="1" fontId="83" fillId="0" borderId="40" xfId="0" applyNumberFormat="1" applyFont="1" applyBorder="1" applyAlignment="1">
      <alignment horizontal="left"/>
    </xf>
    <xf numFmtId="1" fontId="84" fillId="0" borderId="41" xfId="0" applyNumberFormat="1" applyFont="1" applyBorder="1" applyAlignment="1">
      <alignment horizontal="left"/>
    </xf>
    <xf numFmtId="1" fontId="2" fillId="0" borderId="40" xfId="0" applyNumberFormat="1" applyFont="1" applyBorder="1" applyAlignment="1">
      <alignment horizontal="left"/>
    </xf>
    <xf numFmtId="1" fontId="84" fillId="0" borderId="60" xfId="44" applyNumberFormat="1" applyFont="1" applyBorder="1" applyAlignment="1">
      <alignment horizontal="left"/>
    </xf>
    <xf numFmtId="1" fontId="84" fillId="0" borderId="40" xfId="44" applyNumberFormat="1" applyFont="1" applyBorder="1" applyAlignment="1">
      <alignment horizontal="left"/>
    </xf>
    <xf numFmtId="1" fontId="84" fillId="0" borderId="41" xfId="44" applyNumberFormat="1" applyFont="1" applyBorder="1" applyAlignment="1">
      <alignment horizontal="left"/>
    </xf>
    <xf numFmtId="1" fontId="84" fillId="0" borderId="60" xfId="0" applyNumberFormat="1" applyFont="1" applyBorder="1" applyAlignment="1">
      <alignment horizontal="left" vertical="center"/>
    </xf>
    <xf numFmtId="1" fontId="84" fillId="0" borderId="40" xfId="0" applyNumberFormat="1" applyFont="1" applyBorder="1" applyAlignment="1">
      <alignment horizontal="left" vertical="center"/>
    </xf>
    <xf numFmtId="1" fontId="83" fillId="0" borderId="40" xfId="0" applyNumberFormat="1" applyFont="1" applyBorder="1" applyAlignment="1">
      <alignment horizontal="left" vertical="center"/>
    </xf>
    <xf numFmtId="1" fontId="84" fillId="0" borderId="41" xfId="0" applyNumberFormat="1" applyFont="1" applyBorder="1" applyAlignment="1">
      <alignment horizontal="left" vertical="center"/>
    </xf>
    <xf numFmtId="1" fontId="83" fillId="0" borderId="37" xfId="0" applyNumberFormat="1" applyFont="1" applyBorder="1" applyAlignment="1">
      <alignment horizontal="left"/>
    </xf>
    <xf numFmtId="1" fontId="83" fillId="0" borderId="42" xfId="0" applyNumberFormat="1" applyFont="1" applyBorder="1" applyAlignment="1">
      <alignment horizontal="left"/>
    </xf>
    <xf numFmtId="0" fontId="83" fillId="0" borderId="21" xfId="0" applyFont="1" applyBorder="1" applyAlignment="1">
      <alignment horizontal="left" vertical="center"/>
    </xf>
    <xf numFmtId="1" fontId="88" fillId="0" borderId="32" xfId="42" applyNumberFormat="1" applyFont="1" applyBorder="1" applyAlignment="1">
      <alignment horizontal="left"/>
    </xf>
    <xf numFmtId="1" fontId="88" fillId="0" borderId="15" xfId="0" applyNumberFormat="1" applyFont="1" applyBorder="1" applyAlignment="1">
      <alignment horizontal="left"/>
    </xf>
    <xf numFmtId="1" fontId="88" fillId="0" borderId="32" xfId="0" applyNumberFormat="1" applyFont="1" applyBorder="1" applyAlignment="1">
      <alignment horizontal="left"/>
    </xf>
    <xf numFmtId="1" fontId="88" fillId="0" borderId="11" xfId="44" applyNumberFormat="1" applyFont="1" applyBorder="1" applyAlignment="1">
      <alignment horizontal="left"/>
    </xf>
    <xf numFmtId="0" fontId="83" fillId="0" borderId="12" xfId="0" applyFont="1" applyBorder="1" applyAlignment="1">
      <alignment horizontal="left"/>
    </xf>
    <xf numFmtId="0" fontId="83" fillId="0" borderId="10" xfId="0" applyFont="1" applyBorder="1" applyAlignment="1">
      <alignment horizontal="left"/>
    </xf>
    <xf numFmtId="0" fontId="83" fillId="0" borderId="16" xfId="0" applyFont="1" applyBorder="1" applyAlignment="1">
      <alignment horizontal="left"/>
    </xf>
    <xf numFmtId="0" fontId="83" fillId="0" borderId="18" xfId="0" applyFont="1" applyBorder="1" applyAlignment="1">
      <alignment horizontal="left"/>
    </xf>
    <xf numFmtId="1" fontId="88" fillId="0" borderId="16" xfId="0" applyNumberFormat="1" applyFont="1" applyBorder="1" applyAlignment="1">
      <alignment horizontal="left" vertical="center"/>
    </xf>
    <xf numFmtId="1" fontId="88" fillId="0" borderId="18" xfId="0" applyNumberFormat="1" applyFont="1" applyBorder="1" applyAlignment="1">
      <alignment horizontal="left" vertical="center"/>
    </xf>
    <xf numFmtId="2" fontId="84" fillId="0" borderId="16" xfId="0" applyNumberFormat="1" applyFont="1" applyBorder="1" applyAlignment="1">
      <alignment horizontal="left" vertical="center"/>
    </xf>
    <xf numFmtId="2" fontId="84" fillId="0" borderId="39" xfId="0" applyNumberFormat="1" applyFont="1" applyBorder="1" applyAlignment="1">
      <alignment horizontal="left" vertical="center"/>
    </xf>
    <xf numFmtId="2" fontId="88" fillId="0" borderId="38" xfId="0" applyNumberFormat="1" applyFont="1" applyBorder="1" applyAlignment="1">
      <alignment horizontal="left"/>
    </xf>
    <xf numFmtId="2" fontId="88" fillId="0" borderId="16" xfId="0" applyNumberFormat="1" applyFont="1" applyBorder="1" applyAlignment="1">
      <alignment horizontal="left"/>
    </xf>
    <xf numFmtId="2" fontId="88" fillId="0" borderId="39" xfId="0" applyNumberFormat="1" applyFont="1" applyBorder="1" applyAlignment="1">
      <alignment horizontal="left"/>
    </xf>
    <xf numFmtId="2" fontId="88" fillId="0" borderId="18" xfId="0" applyNumberFormat="1" applyFont="1" applyBorder="1" applyAlignment="1">
      <alignment horizontal="left"/>
    </xf>
    <xf numFmtId="0" fontId="84" fillId="0" borderId="16" xfId="0" applyFont="1" applyBorder="1" applyAlignment="1">
      <alignment horizontal="left"/>
    </xf>
    <xf numFmtId="0" fontId="84" fillId="0" borderId="18" xfId="0" applyFont="1" applyBorder="1" applyAlignment="1">
      <alignment horizontal="left"/>
    </xf>
    <xf numFmtId="2" fontId="84" fillId="0" borderId="18" xfId="44" applyNumberFormat="1" applyFont="1" applyBorder="1" applyAlignment="1">
      <alignment horizontal="left"/>
    </xf>
    <xf numFmtId="2" fontId="88" fillId="0" borderId="18" xfId="0" applyNumberFormat="1" applyFont="1" applyFill="1" applyBorder="1" applyAlignment="1">
      <alignment horizontal="left"/>
    </xf>
    <xf numFmtId="2" fontId="88" fillId="0" borderId="16" xfId="42" applyNumberFormat="1" applyFont="1" applyBorder="1" applyAlignment="1">
      <alignment horizontal="left"/>
    </xf>
    <xf numFmtId="2" fontId="88" fillId="0" borderId="18" xfId="42" applyNumberFormat="1" applyFont="1" applyBorder="1" applyAlignment="1">
      <alignment horizontal="left"/>
    </xf>
    <xf numFmtId="2" fontId="89" fillId="0" borderId="19" xfId="0" applyNumberFormat="1" applyFont="1" applyBorder="1" applyAlignment="1">
      <alignment horizontal="left"/>
    </xf>
    <xf numFmtId="2" fontId="88" fillId="0" borderId="38" xfId="42" applyNumberFormat="1" applyFont="1" applyBorder="1" applyAlignment="1">
      <alignment horizontal="left"/>
    </xf>
    <xf numFmtId="2" fontId="89" fillId="0" borderId="37" xfId="0" applyNumberFormat="1" applyFont="1" applyBorder="1" applyAlignment="1">
      <alignment horizontal="left"/>
    </xf>
    <xf numFmtId="0" fontId="93" fillId="0" borderId="47" xfId="0" applyFont="1" applyBorder="1" applyAlignment="1">
      <alignment horizontal="left"/>
    </xf>
    <xf numFmtId="0" fontId="93" fillId="0" borderId="63" xfId="0" applyFont="1" applyBorder="1" applyAlignment="1">
      <alignment horizontal="left"/>
    </xf>
    <xf numFmtId="0" fontId="93" fillId="0" borderId="64" xfId="0" applyFont="1" applyBorder="1" applyAlignment="1">
      <alignment horizontal="left"/>
    </xf>
    <xf numFmtId="1" fontId="91" fillId="0" borderId="63" xfId="0" applyNumberFormat="1" applyFont="1" applyBorder="1" applyAlignment="1">
      <alignment horizontal="left"/>
    </xf>
    <xf numFmtId="1" fontId="91" fillId="0" borderId="27" xfId="0" applyNumberFormat="1" applyFont="1" applyBorder="1" applyAlignment="1">
      <alignment horizontal="left"/>
    </xf>
    <xf numFmtId="1" fontId="93" fillId="0" borderId="28" xfId="42" applyNumberFormat="1" applyFont="1" applyBorder="1" applyAlignment="1">
      <alignment horizontal="left"/>
    </xf>
    <xf numFmtId="0" fontId="90" fillId="0" borderId="40" xfId="0" applyFont="1" applyBorder="1" applyAlignment="1">
      <alignment horizontal="left"/>
    </xf>
    <xf numFmtId="0" fontId="91" fillId="0" borderId="40" xfId="0" applyFont="1" applyBorder="1" applyAlignment="1">
      <alignment horizontal="left"/>
    </xf>
    <xf numFmtId="1" fontId="90" fillId="0" borderId="39" xfId="0" applyNumberFormat="1" applyFont="1" applyBorder="1" applyAlignment="1">
      <alignment horizontal="left"/>
    </xf>
    <xf numFmtId="0" fontId="90" fillId="0" borderId="37" xfId="0" applyFont="1" applyBorder="1" applyAlignment="1">
      <alignment horizontal="left"/>
    </xf>
    <xf numFmtId="0" fontId="91" fillId="0" borderId="65" xfId="0" applyFont="1" applyBorder="1" applyAlignment="1">
      <alignment horizontal="left" vertical="center"/>
    </xf>
    <xf numFmtId="0" fontId="91" fillId="0" borderId="20" xfId="0" applyFont="1" applyBorder="1" applyAlignment="1">
      <alignment horizontal="left" vertical="center"/>
    </xf>
    <xf numFmtId="0" fontId="93" fillId="0" borderId="16" xfId="0" applyFont="1" applyBorder="1" applyAlignment="1">
      <alignment horizontal="left"/>
    </xf>
    <xf numFmtId="0" fontId="93" fillId="0" borderId="18" xfId="0" applyFont="1" applyBorder="1" applyAlignment="1">
      <alignment horizontal="left"/>
    </xf>
    <xf numFmtId="2" fontId="93" fillId="0" borderId="24" xfId="0" applyNumberFormat="1" applyFont="1" applyBorder="1" applyAlignment="1">
      <alignment horizontal="left"/>
    </xf>
    <xf numFmtId="0" fontId="93" fillId="0" borderId="14" xfId="0" applyFont="1" applyBorder="1" applyAlignment="1">
      <alignment horizontal="left"/>
    </xf>
    <xf numFmtId="1" fontId="83" fillId="0" borderId="24" xfId="0" applyNumberFormat="1" applyFont="1" applyBorder="1" applyAlignment="1">
      <alignment horizontal="left" vertical="center"/>
    </xf>
    <xf numFmtId="10" fontId="84" fillId="0" borderId="15" xfId="0" applyNumberFormat="1" applyFont="1" applyBorder="1" applyAlignment="1">
      <alignment horizontal="left"/>
    </xf>
    <xf numFmtId="10" fontId="83" fillId="0" borderId="12" xfId="0" applyNumberFormat="1" applyFont="1" applyBorder="1" applyAlignment="1">
      <alignment horizontal="left"/>
    </xf>
    <xf numFmtId="1" fontId="84" fillId="0" borderId="15" xfId="0" applyNumberFormat="1" applyFont="1" applyFill="1" applyBorder="1" applyAlignment="1">
      <alignment horizontal="left"/>
    </xf>
    <xf numFmtId="1" fontId="6" fillId="0" borderId="14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0" fontId="98" fillId="0" borderId="0" xfId="0" applyFont="1" applyAlignment="1">
      <alignment horizontal="left"/>
    </xf>
    <xf numFmtId="0" fontId="99" fillId="0" borderId="0" xfId="0" applyFont="1" applyAlignment="1">
      <alignment horizontal="left"/>
    </xf>
    <xf numFmtId="0" fontId="100" fillId="0" borderId="0" xfId="0" applyFont="1" applyAlignment="1">
      <alignment horizontal="left"/>
    </xf>
    <xf numFmtId="0" fontId="101" fillId="0" borderId="0" xfId="0" applyFont="1" applyAlignment="1">
      <alignment horizontal="left"/>
    </xf>
    <xf numFmtId="0" fontId="99" fillId="0" borderId="52" xfId="0" applyFont="1" applyBorder="1" applyAlignment="1">
      <alignment horizontal="left"/>
    </xf>
    <xf numFmtId="2" fontId="100" fillId="0" borderId="51" xfId="0" applyNumberFormat="1" applyFont="1" applyBorder="1" applyAlignment="1">
      <alignment horizontal="left" vertical="center"/>
    </xf>
    <xf numFmtId="2" fontId="100" fillId="0" borderId="61" xfId="0" applyNumberFormat="1" applyFont="1" applyBorder="1" applyAlignment="1">
      <alignment horizontal="left" vertical="center"/>
    </xf>
    <xf numFmtId="2" fontId="100" fillId="0" borderId="47" xfId="0" applyNumberFormat="1" applyFont="1" applyBorder="1" applyAlignment="1">
      <alignment horizontal="left" vertical="center"/>
    </xf>
    <xf numFmtId="2" fontId="100" fillId="0" borderId="62" xfId="0" applyNumberFormat="1" applyFont="1" applyBorder="1" applyAlignment="1">
      <alignment horizontal="left" vertical="center"/>
    </xf>
    <xf numFmtId="2" fontId="102" fillId="0" borderId="51" xfId="0" applyNumberFormat="1" applyFont="1" applyBorder="1" applyAlignment="1">
      <alignment horizontal="left"/>
    </xf>
    <xf numFmtId="2" fontId="102" fillId="0" borderId="47" xfId="42" applyNumberFormat="1" applyFont="1" applyBorder="1" applyAlignment="1">
      <alignment horizontal="left"/>
    </xf>
    <xf numFmtId="2" fontId="102" fillId="0" borderId="52" xfId="0" applyNumberFormat="1" applyFont="1" applyBorder="1" applyAlignment="1">
      <alignment horizontal="left"/>
    </xf>
    <xf numFmtId="0" fontId="103" fillId="0" borderId="0" xfId="0" applyFont="1" applyAlignment="1">
      <alignment horizontal="left"/>
    </xf>
    <xf numFmtId="0" fontId="99" fillId="0" borderId="66" xfId="0" applyFont="1" applyBorder="1" applyAlignment="1">
      <alignment horizontal="left"/>
    </xf>
    <xf numFmtId="2" fontId="100" fillId="0" borderId="67" xfId="0" applyNumberFormat="1" applyFont="1" applyBorder="1" applyAlignment="1">
      <alignment horizontal="left" vertical="center"/>
    </xf>
    <xf numFmtId="2" fontId="100" fillId="0" borderId="68" xfId="0" applyNumberFormat="1" applyFont="1" applyBorder="1" applyAlignment="1">
      <alignment horizontal="left" vertical="center"/>
    </xf>
    <xf numFmtId="2" fontId="100" fillId="0" borderId="69" xfId="0" applyNumberFormat="1" applyFont="1" applyBorder="1" applyAlignment="1">
      <alignment horizontal="left" vertical="center"/>
    </xf>
    <xf numFmtId="2" fontId="100" fillId="0" borderId="70" xfId="0" applyNumberFormat="1" applyFont="1" applyBorder="1" applyAlignment="1">
      <alignment horizontal="left" vertical="center"/>
    </xf>
    <xf numFmtId="2" fontId="102" fillId="0" borderId="67" xfId="0" applyNumberFormat="1" applyFont="1" applyBorder="1" applyAlignment="1">
      <alignment horizontal="left"/>
    </xf>
    <xf numFmtId="2" fontId="102" fillId="0" borderId="69" xfId="0" applyNumberFormat="1" applyFont="1" applyBorder="1" applyAlignment="1">
      <alignment horizontal="left"/>
    </xf>
    <xf numFmtId="2" fontId="102" fillId="0" borderId="66" xfId="0" applyNumberFormat="1" applyFont="1" applyBorder="1" applyAlignment="1">
      <alignment horizontal="left"/>
    </xf>
    <xf numFmtId="0" fontId="93" fillId="0" borderId="0" xfId="0" applyFont="1" applyAlignment="1">
      <alignment/>
    </xf>
    <xf numFmtId="0" fontId="93" fillId="0" borderId="14" xfId="0" applyFont="1" applyBorder="1" applyAlignment="1">
      <alignment/>
    </xf>
    <xf numFmtId="0" fontId="84" fillId="0" borderId="0" xfId="0" applyFont="1" applyAlignment="1">
      <alignment/>
    </xf>
    <xf numFmtId="0" fontId="92" fillId="0" borderId="0" xfId="0" applyFont="1" applyAlignment="1">
      <alignment horizontal="left"/>
    </xf>
    <xf numFmtId="0" fontId="85" fillId="0" borderId="24" xfId="0" applyFont="1" applyBorder="1" applyAlignment="1">
      <alignment horizontal="left"/>
    </xf>
    <xf numFmtId="0" fontId="87" fillId="0" borderId="71" xfId="0" applyFont="1" applyBorder="1" applyAlignment="1">
      <alignment/>
    </xf>
    <xf numFmtId="0" fontId="87" fillId="0" borderId="26" xfId="0" applyFont="1" applyBorder="1" applyAlignment="1">
      <alignment/>
    </xf>
    <xf numFmtId="0" fontId="93" fillId="0" borderId="0" xfId="0" applyFont="1" applyFill="1" applyAlignment="1">
      <alignment/>
    </xf>
    <xf numFmtId="0" fontId="87" fillId="0" borderId="10" xfId="0" applyFont="1" applyBorder="1" applyAlignment="1">
      <alignment/>
    </xf>
    <xf numFmtId="0" fontId="85" fillId="0" borderId="46" xfId="0" applyFont="1" applyBorder="1" applyAlignment="1">
      <alignment horizontal="left"/>
    </xf>
    <xf numFmtId="0" fontId="87" fillId="0" borderId="72" xfId="0" applyFont="1" applyBorder="1" applyAlignment="1">
      <alignment/>
    </xf>
    <xf numFmtId="0" fontId="87" fillId="0" borderId="25" xfId="0" applyFont="1" applyBorder="1" applyAlignment="1">
      <alignment/>
    </xf>
    <xf numFmtId="0" fontId="87" fillId="0" borderId="46" xfId="0" applyFont="1" applyBorder="1" applyAlignment="1">
      <alignment/>
    </xf>
    <xf numFmtId="0" fontId="87" fillId="0" borderId="24" xfId="0" applyFont="1" applyBorder="1" applyAlignment="1">
      <alignment/>
    </xf>
    <xf numFmtId="0" fontId="87" fillId="0" borderId="14" xfId="0" applyFont="1" applyBorder="1" applyAlignment="1">
      <alignment/>
    </xf>
    <xf numFmtId="0" fontId="88" fillId="0" borderId="0" xfId="0" applyFont="1" applyAlignment="1">
      <alignment/>
    </xf>
    <xf numFmtId="0" fontId="104" fillId="0" borderId="0" xfId="0" applyFont="1" applyAlignment="1">
      <alignment horizontal="left"/>
    </xf>
    <xf numFmtId="0" fontId="94" fillId="0" borderId="40" xfId="0" applyFont="1" applyBorder="1" applyAlignment="1">
      <alignment horizontal="left"/>
    </xf>
    <xf numFmtId="0" fontId="94" fillId="0" borderId="60" xfId="0" applyFont="1" applyBorder="1" applyAlignment="1">
      <alignment horizontal="left"/>
    </xf>
    <xf numFmtId="0" fontId="87" fillId="0" borderId="60" xfId="0" applyFont="1" applyBorder="1" applyAlignment="1">
      <alignment/>
    </xf>
    <xf numFmtId="2" fontId="87" fillId="0" borderId="0" xfId="0" applyNumberFormat="1" applyFont="1" applyAlignment="1">
      <alignment/>
    </xf>
    <xf numFmtId="0" fontId="87" fillId="0" borderId="40" xfId="0" applyFont="1" applyBorder="1" applyAlignment="1">
      <alignment/>
    </xf>
    <xf numFmtId="1" fontId="105" fillId="0" borderId="29" xfId="0" applyNumberFormat="1" applyFont="1" applyFill="1" applyBorder="1" applyAlignment="1">
      <alignment horizontal="left" vertical="center"/>
    </xf>
    <xf numFmtId="1" fontId="105" fillId="0" borderId="28" xfId="0" applyNumberFormat="1" applyFont="1" applyFill="1" applyBorder="1" applyAlignment="1">
      <alignment horizontal="left" vertical="center"/>
    </xf>
    <xf numFmtId="1" fontId="105" fillId="0" borderId="30" xfId="0" applyNumberFormat="1" applyFont="1" applyFill="1" applyBorder="1" applyAlignment="1">
      <alignment horizontal="left" vertical="center"/>
    </xf>
    <xf numFmtId="1" fontId="105" fillId="0" borderId="31" xfId="0" applyNumberFormat="1" applyFont="1" applyBorder="1" applyAlignment="1">
      <alignment horizontal="left" vertical="center"/>
    </xf>
    <xf numFmtId="1" fontId="105" fillId="0" borderId="42" xfId="0" applyNumberFormat="1" applyFont="1" applyBorder="1" applyAlignment="1">
      <alignment horizontal="left" vertical="center"/>
    </xf>
    <xf numFmtId="1" fontId="105" fillId="0" borderId="0" xfId="0" applyNumberFormat="1" applyFont="1" applyFill="1" applyAlignment="1">
      <alignment horizontal="left"/>
    </xf>
    <xf numFmtId="1" fontId="105" fillId="0" borderId="11" xfId="0" applyNumberFormat="1" applyFont="1" applyBorder="1" applyAlignment="1">
      <alignment horizontal="left" vertical="center"/>
    </xf>
    <xf numFmtId="1" fontId="105" fillId="0" borderId="12" xfId="0" applyNumberFormat="1" applyFont="1" applyBorder="1" applyAlignment="1">
      <alignment horizontal="left" vertical="center"/>
    </xf>
    <xf numFmtId="1" fontId="105" fillId="0" borderId="10" xfId="0" applyNumberFormat="1" applyFont="1" applyBorder="1" applyAlignment="1">
      <alignment horizontal="left" vertical="center"/>
    </xf>
    <xf numFmtId="1" fontId="105" fillId="0" borderId="14" xfId="0" applyNumberFormat="1" applyFont="1" applyBorder="1" applyAlignment="1">
      <alignment horizontal="left" vertical="center"/>
    </xf>
    <xf numFmtId="1" fontId="105" fillId="0" borderId="24" xfId="0" applyNumberFormat="1" applyFont="1" applyBorder="1" applyAlignment="1">
      <alignment horizontal="left" vertical="center"/>
    </xf>
    <xf numFmtId="1" fontId="106" fillId="0" borderId="0" xfId="0" applyNumberFormat="1" applyFont="1" applyAlignment="1">
      <alignment horizontal="left"/>
    </xf>
    <xf numFmtId="1" fontId="106" fillId="0" borderId="12" xfId="0" applyNumberFormat="1" applyFont="1" applyBorder="1" applyAlignment="1">
      <alignment horizontal="left" vertical="center"/>
    </xf>
    <xf numFmtId="1" fontId="106" fillId="0" borderId="10" xfId="0" applyNumberFormat="1" applyFont="1" applyBorder="1" applyAlignment="1">
      <alignment horizontal="left" vertical="center"/>
    </xf>
    <xf numFmtId="1" fontId="106" fillId="0" borderId="14" xfId="0" applyNumberFormat="1" applyFont="1" applyBorder="1" applyAlignment="1">
      <alignment horizontal="left" vertical="center"/>
    </xf>
    <xf numFmtId="1" fontId="83" fillId="0" borderId="19" xfId="0" applyNumberFormat="1" applyFont="1" applyBorder="1" applyAlignment="1">
      <alignment horizontal="left" vertical="center"/>
    </xf>
    <xf numFmtId="1" fontId="83" fillId="0" borderId="16" xfId="0" applyNumberFormat="1" applyFont="1" applyBorder="1" applyAlignment="1">
      <alignment horizontal="left" vertical="center"/>
    </xf>
    <xf numFmtId="1" fontId="83" fillId="0" borderId="18" xfId="0" applyNumberFormat="1" applyFont="1" applyBorder="1" applyAlignment="1">
      <alignment horizontal="left" vertical="center"/>
    </xf>
    <xf numFmtId="1" fontId="84" fillId="0" borderId="16" xfId="0" applyNumberFormat="1" applyFont="1" applyFill="1" applyBorder="1" applyAlignment="1">
      <alignment horizontal="left" vertical="center" shrinkToFit="1"/>
    </xf>
    <xf numFmtId="1" fontId="84" fillId="0" borderId="18" xfId="0" applyNumberFormat="1" applyFont="1" applyFill="1" applyBorder="1" applyAlignment="1">
      <alignment horizontal="left" vertical="center" shrinkToFit="1"/>
    </xf>
    <xf numFmtId="1" fontId="83" fillId="0" borderId="38" xfId="0" applyNumberFormat="1" applyFont="1" applyBorder="1" applyAlignment="1">
      <alignment horizontal="left" vertical="center"/>
    </xf>
    <xf numFmtId="1" fontId="83" fillId="0" borderId="37" xfId="0" applyNumberFormat="1" applyFont="1" applyBorder="1" applyAlignment="1">
      <alignment horizontal="left" vertical="center"/>
    </xf>
    <xf numFmtId="0" fontId="105" fillId="0" borderId="73" xfId="0" applyFont="1" applyBorder="1" applyAlignment="1">
      <alignment horizontal="left"/>
    </xf>
    <xf numFmtId="0" fontId="105" fillId="0" borderId="70" xfId="0" applyFont="1" applyBorder="1" applyAlignment="1">
      <alignment horizontal="left"/>
    </xf>
    <xf numFmtId="0" fontId="93" fillId="0" borderId="19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30" xfId="0" applyFont="1" applyBorder="1" applyAlignment="1">
      <alignment/>
    </xf>
    <xf numFmtId="1" fontId="92" fillId="0" borderId="24" xfId="0" applyNumberFormat="1" applyFont="1" applyBorder="1" applyAlignment="1">
      <alignment horizontal="left"/>
    </xf>
    <xf numFmtId="1" fontId="85" fillId="0" borderId="24" xfId="0" applyNumberFormat="1" applyFont="1" applyBorder="1" applyAlignment="1">
      <alignment horizontal="left"/>
    </xf>
    <xf numFmtId="1" fontId="85" fillId="0" borderId="58" xfId="0" applyNumberFormat="1" applyFont="1" applyBorder="1" applyAlignment="1">
      <alignment horizontal="left"/>
    </xf>
    <xf numFmtId="1" fontId="91" fillId="0" borderId="62" xfId="0" applyNumberFormat="1" applyFont="1" applyFill="1" applyBorder="1" applyAlignment="1">
      <alignment horizontal="center" vertical="center" wrapText="1"/>
    </xf>
    <xf numFmtId="0" fontId="107" fillId="0" borderId="35" xfId="0" applyFont="1" applyBorder="1" applyAlignment="1">
      <alignment horizontal="left"/>
    </xf>
    <xf numFmtId="0" fontId="105" fillId="0" borderId="35" xfId="0" applyFont="1" applyBorder="1" applyAlignment="1">
      <alignment horizontal="left"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107" fillId="0" borderId="58" xfId="0" applyFont="1" applyBorder="1" applyAlignment="1">
      <alignment horizontal="left"/>
    </xf>
    <xf numFmtId="1" fontId="107" fillId="0" borderId="21" xfId="0" applyNumberFormat="1" applyFont="1" applyBorder="1" applyAlignment="1">
      <alignment horizontal="left" vertical="center"/>
    </xf>
    <xf numFmtId="1" fontId="107" fillId="0" borderId="22" xfId="0" applyNumberFormat="1" applyFont="1" applyBorder="1" applyAlignment="1">
      <alignment horizontal="left" vertical="center"/>
    </xf>
    <xf numFmtId="1" fontId="107" fillId="0" borderId="74" xfId="0" applyNumberFormat="1" applyFont="1" applyBorder="1" applyAlignment="1">
      <alignment horizontal="left" vertical="center"/>
    </xf>
    <xf numFmtId="1" fontId="107" fillId="0" borderId="54" xfId="0" applyNumberFormat="1" applyFont="1" applyBorder="1" applyAlignment="1">
      <alignment horizontal="left"/>
    </xf>
    <xf numFmtId="1" fontId="107" fillId="0" borderId="58" xfId="0" applyNumberFormat="1" applyFont="1" applyBorder="1" applyAlignment="1">
      <alignment horizontal="left"/>
    </xf>
    <xf numFmtId="2" fontId="107" fillId="0" borderId="54" xfId="0" applyNumberFormat="1" applyFont="1" applyBorder="1" applyAlignment="1">
      <alignment horizontal="left"/>
    </xf>
    <xf numFmtId="2" fontId="107" fillId="0" borderId="58" xfId="0" applyNumberFormat="1" applyFont="1" applyBorder="1" applyAlignment="1">
      <alignment horizontal="left"/>
    </xf>
    <xf numFmtId="1" fontId="107" fillId="0" borderId="13" xfId="0" applyNumberFormat="1" applyFont="1" applyFill="1" applyBorder="1" applyAlignment="1">
      <alignment horizontal="left"/>
    </xf>
    <xf numFmtId="1" fontId="107" fillId="0" borderId="13" xfId="42" applyNumberFormat="1" applyFont="1" applyBorder="1" applyAlignment="1">
      <alignment horizontal="left"/>
    </xf>
    <xf numFmtId="1" fontId="107" fillId="0" borderId="21" xfId="42" applyNumberFormat="1" applyFont="1" applyBorder="1" applyAlignment="1">
      <alignment horizontal="left"/>
    </xf>
    <xf numFmtId="0" fontId="107" fillId="0" borderId="0" xfId="0" applyFont="1" applyAlignment="1">
      <alignment horizontal="left"/>
    </xf>
    <xf numFmtId="1" fontId="110" fillId="0" borderId="0" xfId="0" applyNumberFormat="1" applyFont="1" applyAlignment="1">
      <alignment/>
    </xf>
    <xf numFmtId="1" fontId="93" fillId="0" borderId="15" xfId="44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1" fontId="93" fillId="0" borderId="32" xfId="44" applyNumberFormat="1" applyFont="1" applyBorder="1" applyAlignment="1">
      <alignment horizontal="left"/>
    </xf>
    <xf numFmtId="1" fontId="90" fillId="0" borderId="32" xfId="0" applyNumberFormat="1" applyFont="1" applyBorder="1" applyAlignment="1">
      <alignment horizontal="left"/>
    </xf>
    <xf numFmtId="1" fontId="93" fillId="0" borderId="33" xfId="0" applyNumberFormat="1" applyFont="1" applyBorder="1" applyAlignment="1">
      <alignment horizontal="left"/>
    </xf>
    <xf numFmtId="1" fontId="93" fillId="0" borderId="75" xfId="0" applyNumberFormat="1" applyFont="1" applyBorder="1" applyAlignment="1">
      <alignment horizontal="left"/>
    </xf>
    <xf numFmtId="1" fontId="107" fillId="0" borderId="0" xfId="0" applyNumberFormat="1" applyFont="1" applyAlignment="1">
      <alignment horizontal="left"/>
    </xf>
    <xf numFmtId="1" fontId="91" fillId="0" borderId="42" xfId="0" applyNumberFormat="1" applyFont="1" applyBorder="1" applyAlignment="1">
      <alignment horizontal="left"/>
    </xf>
    <xf numFmtId="1" fontId="107" fillId="0" borderId="69" xfId="0" applyNumberFormat="1" applyFont="1" applyBorder="1" applyAlignment="1">
      <alignment horizontal="left" vertical="center"/>
    </xf>
    <xf numFmtId="1" fontId="107" fillId="0" borderId="73" xfId="0" applyNumberFormat="1" applyFont="1" applyBorder="1" applyAlignment="1">
      <alignment horizontal="left" vertical="center"/>
    </xf>
    <xf numFmtId="1" fontId="107" fillId="0" borderId="66" xfId="0" applyNumberFormat="1" applyFont="1" applyBorder="1" applyAlignment="1">
      <alignment horizontal="left" vertical="center"/>
    </xf>
    <xf numFmtId="1" fontId="107" fillId="0" borderId="67" xfId="0" applyNumberFormat="1" applyFont="1" applyBorder="1" applyAlignment="1">
      <alignment horizontal="left" vertical="center"/>
    </xf>
    <xf numFmtId="1" fontId="107" fillId="0" borderId="76" xfId="0" applyNumberFormat="1" applyFont="1" applyBorder="1" applyAlignment="1">
      <alignment horizontal="left"/>
    </xf>
    <xf numFmtId="1" fontId="107" fillId="0" borderId="69" xfId="0" applyNumberFormat="1" applyFont="1" applyBorder="1" applyAlignment="1">
      <alignment horizontal="left"/>
    </xf>
    <xf numFmtId="1" fontId="107" fillId="0" borderId="67" xfId="0" applyNumberFormat="1" applyFont="1" applyBorder="1" applyAlignment="1">
      <alignment horizontal="left"/>
    </xf>
    <xf numFmtId="1" fontId="107" fillId="0" borderId="67" xfId="42" applyNumberFormat="1" applyFont="1" applyBorder="1" applyAlignment="1">
      <alignment horizontal="left"/>
    </xf>
    <xf numFmtId="1" fontId="107" fillId="0" borderId="68" xfId="42" applyNumberFormat="1" applyFont="1" applyBorder="1" applyAlignment="1">
      <alignment horizontal="left"/>
    </xf>
    <xf numFmtId="1" fontId="107" fillId="0" borderId="66" xfId="0" applyNumberFormat="1" applyFont="1" applyBorder="1" applyAlignment="1">
      <alignment horizontal="left"/>
    </xf>
    <xf numFmtId="1" fontId="105" fillId="0" borderId="73" xfId="0" applyNumberFormat="1" applyFont="1" applyBorder="1" applyAlignment="1">
      <alignment horizontal="left"/>
    </xf>
    <xf numFmtId="1" fontId="111" fillId="0" borderId="68" xfId="0" applyNumberFormat="1" applyFont="1" applyBorder="1" applyAlignment="1">
      <alignment horizontal="left"/>
    </xf>
    <xf numFmtId="1" fontId="111" fillId="0" borderId="70" xfId="0" applyNumberFormat="1" applyFont="1" applyBorder="1" applyAlignment="1">
      <alignment horizontal="left"/>
    </xf>
    <xf numFmtId="1" fontId="111" fillId="0" borderId="68" xfId="0" applyNumberFormat="1" applyFont="1" applyFill="1" applyBorder="1" applyAlignment="1">
      <alignment horizontal="left"/>
    </xf>
    <xf numFmtId="1" fontId="111" fillId="0" borderId="0" xfId="0" applyNumberFormat="1" applyFont="1" applyAlignment="1">
      <alignment horizontal="left"/>
    </xf>
    <xf numFmtId="1" fontId="91" fillId="0" borderId="41" xfId="0" applyNumberFormat="1" applyFont="1" applyBorder="1" applyAlignment="1">
      <alignment horizontal="left"/>
    </xf>
    <xf numFmtId="0" fontId="107" fillId="0" borderId="77" xfId="0" applyFont="1" applyBorder="1" applyAlignment="1">
      <alignment horizontal="left"/>
    </xf>
    <xf numFmtId="0" fontId="107" fillId="0" borderId="34" xfId="0" applyFont="1" applyBorder="1" applyAlignment="1">
      <alignment horizontal="left"/>
    </xf>
    <xf numFmtId="1" fontId="110" fillId="0" borderId="0" xfId="0" applyNumberFormat="1" applyFont="1" applyAlignment="1">
      <alignment horizontal="left"/>
    </xf>
    <xf numFmtId="1" fontId="88" fillId="0" borderId="15" xfId="42" applyNumberFormat="1" applyFont="1" applyBorder="1" applyAlignment="1">
      <alignment horizontal="left"/>
    </xf>
    <xf numFmtId="1" fontId="89" fillId="0" borderId="40" xfId="0" applyNumberFormat="1" applyFont="1" applyBorder="1" applyAlignment="1">
      <alignment horizontal="left" vertical="center"/>
    </xf>
    <xf numFmtId="1" fontId="89" fillId="0" borderId="41" xfId="0" applyNumberFormat="1" applyFont="1" applyBorder="1" applyAlignment="1">
      <alignment horizontal="left" vertical="center"/>
    </xf>
    <xf numFmtId="1" fontId="107" fillId="0" borderId="78" xfId="0" applyNumberFormat="1" applyFont="1" applyBorder="1" applyAlignment="1">
      <alignment horizontal="left" vertical="center"/>
    </xf>
    <xf numFmtId="1" fontId="107" fillId="0" borderId="70" xfId="0" applyNumberFormat="1" applyFont="1" applyBorder="1" applyAlignment="1">
      <alignment horizontal="left"/>
    </xf>
    <xf numFmtId="0" fontId="110" fillId="0" borderId="0" xfId="0" applyFont="1" applyAlignment="1">
      <alignment horizontal="left"/>
    </xf>
    <xf numFmtId="1" fontId="112" fillId="0" borderId="59" xfId="0" applyNumberFormat="1" applyFont="1" applyBorder="1" applyAlignment="1">
      <alignment horizontal="justify" vertical="justify" wrapText="1"/>
    </xf>
    <xf numFmtId="1" fontId="108" fillId="0" borderId="0" xfId="0" applyNumberFormat="1" applyFont="1" applyAlignment="1">
      <alignment horizontal="justify" vertical="justify" wrapText="1"/>
    </xf>
    <xf numFmtId="0" fontId="107" fillId="0" borderId="70" xfId="0" applyFont="1" applyBorder="1" applyAlignment="1">
      <alignment horizontal="left"/>
    </xf>
    <xf numFmtId="0" fontId="110" fillId="0" borderId="0" xfId="0" applyFont="1" applyAlignment="1">
      <alignment/>
    </xf>
    <xf numFmtId="0" fontId="106" fillId="0" borderId="0" xfId="0" applyFont="1" applyAlignment="1">
      <alignment horizontal="left"/>
    </xf>
    <xf numFmtId="0" fontId="105" fillId="0" borderId="52" xfId="0" applyFont="1" applyBorder="1" applyAlignment="1">
      <alignment horizontal="left"/>
    </xf>
    <xf numFmtId="0" fontId="106" fillId="0" borderId="66" xfId="0" applyFont="1" applyBorder="1" applyAlignment="1">
      <alignment horizontal="left" vertical="justify" wrapText="1"/>
    </xf>
    <xf numFmtId="0" fontId="105" fillId="0" borderId="73" xfId="0" applyFont="1" applyFill="1" applyBorder="1" applyAlignment="1">
      <alignment horizontal="left" vertical="justify" wrapText="1"/>
    </xf>
    <xf numFmtId="0" fontId="105" fillId="0" borderId="66" xfId="0" applyFont="1" applyBorder="1" applyAlignment="1">
      <alignment horizontal="left" vertical="justify" wrapText="1"/>
    </xf>
    <xf numFmtId="0" fontId="105" fillId="0" borderId="66" xfId="0" applyFont="1" applyFill="1" applyBorder="1" applyAlignment="1">
      <alignment horizontal="left" vertical="justify" wrapText="1"/>
    </xf>
    <xf numFmtId="0" fontId="106" fillId="0" borderId="0" xfId="0" applyFont="1" applyAlignment="1">
      <alignment horizontal="left" vertical="justify" wrapText="1"/>
    </xf>
    <xf numFmtId="2" fontId="105" fillId="0" borderId="66" xfId="0" applyNumberFormat="1" applyFont="1" applyBorder="1" applyAlignment="1">
      <alignment horizontal="left"/>
    </xf>
    <xf numFmtId="2" fontId="105" fillId="0" borderId="73" xfId="0" applyNumberFormat="1" applyFont="1" applyBorder="1" applyAlignment="1">
      <alignment horizontal="left" vertical="center"/>
    </xf>
    <xf numFmtId="2" fontId="105" fillId="0" borderId="73" xfId="0" applyNumberFormat="1" applyFont="1" applyBorder="1" applyAlignment="1">
      <alignment horizontal="left"/>
    </xf>
    <xf numFmtId="2" fontId="105" fillId="0" borderId="73" xfId="44" applyNumberFormat="1" applyFont="1" applyBorder="1" applyAlignment="1">
      <alignment horizontal="left"/>
    </xf>
    <xf numFmtId="2" fontId="105" fillId="0" borderId="73" xfId="0" applyNumberFormat="1" applyFont="1" applyBorder="1" applyAlignment="1">
      <alignment horizontal="left" wrapText="1"/>
    </xf>
    <xf numFmtId="2" fontId="105" fillId="0" borderId="73" xfId="0" applyNumberFormat="1" applyFont="1" applyFill="1" applyBorder="1" applyAlignment="1">
      <alignment horizontal="left"/>
    </xf>
    <xf numFmtId="2" fontId="105" fillId="0" borderId="66" xfId="42" applyNumberFormat="1" applyFont="1" applyBorder="1" applyAlignment="1">
      <alignment horizontal="left"/>
    </xf>
    <xf numFmtId="2" fontId="105" fillId="0" borderId="70" xfId="0" applyNumberFormat="1" applyFont="1" applyBorder="1" applyAlignment="1">
      <alignment horizontal="left"/>
    </xf>
    <xf numFmtId="2" fontId="106" fillId="0" borderId="0" xfId="0" applyNumberFormat="1" applyFont="1" applyAlignment="1">
      <alignment horizontal="left"/>
    </xf>
    <xf numFmtId="0" fontId="107" fillId="0" borderId="31" xfId="0" applyFont="1" applyBorder="1" applyAlignment="1">
      <alignment horizontal="left"/>
    </xf>
    <xf numFmtId="0" fontId="107" fillId="0" borderId="29" xfId="0" applyFont="1" applyBorder="1" applyAlignment="1">
      <alignment horizontal="left"/>
    </xf>
    <xf numFmtId="0" fontId="107" fillId="0" borderId="32" xfId="0" applyFont="1" applyBorder="1" applyAlignment="1">
      <alignment horizontal="left"/>
    </xf>
    <xf numFmtId="2" fontId="83" fillId="0" borderId="24" xfId="0" applyNumberFormat="1" applyFont="1" applyBorder="1" applyAlignment="1">
      <alignment horizontal="left"/>
    </xf>
    <xf numFmtId="0" fontId="83" fillId="0" borderId="79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1" fontId="107" fillId="0" borderId="50" xfId="0" applyNumberFormat="1" applyFont="1" applyBorder="1" applyAlignment="1">
      <alignment horizontal="left"/>
    </xf>
    <xf numFmtId="1" fontId="93" fillId="0" borderId="80" xfId="0" applyNumberFormat="1" applyFont="1" applyBorder="1" applyAlignment="1">
      <alignment horizontal="left"/>
    </xf>
    <xf numFmtId="1" fontId="93" fillId="0" borderId="50" xfId="0" applyNumberFormat="1" applyFont="1" applyBorder="1" applyAlignment="1">
      <alignment horizontal="left"/>
    </xf>
    <xf numFmtId="1" fontId="107" fillId="0" borderId="80" xfId="0" applyNumberFormat="1" applyFont="1" applyBorder="1" applyAlignment="1">
      <alignment horizontal="left" vertical="center"/>
    </xf>
    <xf numFmtId="1" fontId="93" fillId="0" borderId="81" xfId="0" applyNumberFormat="1" applyFont="1" applyBorder="1" applyAlignment="1">
      <alignment horizontal="left"/>
    </xf>
    <xf numFmtId="1" fontId="93" fillId="0" borderId="64" xfId="0" applyNumberFormat="1" applyFont="1" applyBorder="1" applyAlignment="1">
      <alignment horizontal="left"/>
    </xf>
    <xf numFmtId="1" fontId="107" fillId="0" borderId="48" xfId="0" applyNumberFormat="1" applyFont="1" applyBorder="1" applyAlignment="1">
      <alignment horizontal="left" vertical="center"/>
    </xf>
    <xf numFmtId="1" fontId="107" fillId="0" borderId="50" xfId="0" applyNumberFormat="1" applyFont="1" applyBorder="1" applyAlignment="1">
      <alignment horizontal="left" vertical="center"/>
    </xf>
    <xf numFmtId="0" fontId="93" fillId="0" borderId="78" xfId="0" applyFont="1" applyBorder="1" applyAlignment="1">
      <alignment horizontal="left"/>
    </xf>
    <xf numFmtId="0" fontId="107" fillId="0" borderId="73" xfId="0" applyFont="1" applyBorder="1" applyAlignment="1">
      <alignment horizontal="left"/>
    </xf>
    <xf numFmtId="0" fontId="91" fillId="0" borderId="77" xfId="0" applyFont="1" applyBorder="1" applyAlignment="1">
      <alignment horizontal="left"/>
    </xf>
    <xf numFmtId="0" fontId="91" fillId="0" borderId="17" xfId="0" applyFont="1" applyBorder="1" applyAlignment="1">
      <alignment horizontal="left"/>
    </xf>
    <xf numFmtId="2" fontId="107" fillId="0" borderId="50" xfId="0" applyNumberFormat="1" applyFont="1" applyBorder="1" applyAlignment="1">
      <alignment horizontal="left" vertical="center"/>
    </xf>
    <xf numFmtId="0" fontId="93" fillId="0" borderId="80" xfId="0" applyFont="1" applyBorder="1" applyAlignment="1">
      <alignment horizontal="left"/>
    </xf>
    <xf numFmtId="1" fontId="91" fillId="0" borderId="62" xfId="0" applyNumberFormat="1" applyFont="1" applyFill="1" applyBorder="1" applyAlignment="1">
      <alignment horizontal="center" vertical="justify" wrapText="1"/>
    </xf>
    <xf numFmtId="1" fontId="107" fillId="0" borderId="66" xfId="0" applyNumberFormat="1" applyFont="1" applyBorder="1" applyAlignment="1">
      <alignment horizontal="center" vertical="justify" wrapText="1"/>
    </xf>
    <xf numFmtId="1" fontId="91" fillId="0" borderId="52" xfId="0" applyNumberFormat="1" applyFont="1" applyFill="1" applyBorder="1" applyAlignment="1">
      <alignment horizontal="center" vertical="center" wrapText="1"/>
    </xf>
    <xf numFmtId="0" fontId="93" fillId="0" borderId="19" xfId="0" applyFont="1" applyBorder="1" applyAlignment="1">
      <alignment horizontal="left"/>
    </xf>
    <xf numFmtId="0" fontId="93" fillId="0" borderId="28" xfId="0" applyFont="1" applyBorder="1" applyAlignment="1">
      <alignment horizontal="left"/>
    </xf>
    <xf numFmtId="0" fontId="93" fillId="0" borderId="30" xfId="0" applyFont="1" applyBorder="1" applyAlignment="1">
      <alignment horizontal="left"/>
    </xf>
    <xf numFmtId="0" fontId="107" fillId="0" borderId="54" xfId="0" applyFont="1" applyBorder="1" applyAlignment="1">
      <alignment horizontal="left" vertical="justify" wrapText="1"/>
    </xf>
    <xf numFmtId="0" fontId="107" fillId="0" borderId="13" xfId="0" applyFont="1" applyBorder="1" applyAlignment="1">
      <alignment horizontal="left" vertical="justify" wrapText="1"/>
    </xf>
    <xf numFmtId="1" fontId="107" fillId="0" borderId="21" xfId="0" applyNumberFormat="1" applyFont="1" applyBorder="1" applyAlignment="1">
      <alignment horizontal="left" vertical="justify" wrapText="1"/>
    </xf>
    <xf numFmtId="0" fontId="107" fillId="0" borderId="22" xfId="0" applyFont="1" applyBorder="1" applyAlignment="1">
      <alignment horizontal="left" vertical="justify" wrapText="1"/>
    </xf>
    <xf numFmtId="1" fontId="107" fillId="0" borderId="21" xfId="0" applyNumberFormat="1" applyFont="1" applyFill="1" applyBorder="1" applyAlignment="1">
      <alignment horizontal="left" vertical="justify" wrapText="1"/>
    </xf>
    <xf numFmtId="1" fontId="88" fillId="0" borderId="38" xfId="0" applyNumberFormat="1" applyFont="1" applyBorder="1" applyAlignment="1">
      <alignment horizontal="left" vertical="center"/>
    </xf>
    <xf numFmtId="1" fontId="88" fillId="0" borderId="19" xfId="0" applyNumberFormat="1" applyFont="1" applyBorder="1" applyAlignment="1">
      <alignment horizontal="left"/>
    </xf>
    <xf numFmtId="1" fontId="88" fillId="0" borderId="16" xfId="0" applyNumberFormat="1" applyFont="1" applyBorder="1" applyAlignment="1">
      <alignment horizontal="left"/>
    </xf>
    <xf numFmtId="1" fontId="88" fillId="0" borderId="18" xfId="0" applyNumberFormat="1" applyFont="1" applyBorder="1" applyAlignment="1">
      <alignment horizontal="left"/>
    </xf>
    <xf numFmtId="1" fontId="88" fillId="0" borderId="18" xfId="0" applyNumberFormat="1" applyFont="1" applyFill="1" applyBorder="1" applyAlignment="1">
      <alignment horizontal="left"/>
    </xf>
    <xf numFmtId="1" fontId="88" fillId="0" borderId="38" xfId="0" applyNumberFormat="1" applyFont="1" applyBorder="1" applyAlignment="1">
      <alignment horizontal="left"/>
    </xf>
    <xf numFmtId="1" fontId="88" fillId="0" borderId="19" xfId="44" applyNumberFormat="1" applyFont="1" applyBorder="1" applyAlignment="1">
      <alignment horizontal="left"/>
    </xf>
    <xf numFmtId="1" fontId="88" fillId="0" borderId="16" xfId="44" applyNumberFormat="1" applyFont="1" applyBorder="1" applyAlignment="1">
      <alignment horizontal="left"/>
    </xf>
    <xf numFmtId="1" fontId="88" fillId="0" borderId="18" xfId="44" applyNumberFormat="1" applyFont="1" applyBorder="1" applyAlignment="1">
      <alignment horizontal="left"/>
    </xf>
    <xf numFmtId="1" fontId="88" fillId="0" borderId="19" xfId="0" applyNumberFormat="1" applyFont="1" applyBorder="1" applyAlignment="1">
      <alignment horizontal="left" wrapText="1"/>
    </xf>
    <xf numFmtId="0" fontId="95" fillId="0" borderId="19" xfId="0" applyFont="1" applyBorder="1" applyAlignment="1">
      <alignment horizontal="left"/>
    </xf>
    <xf numFmtId="1" fontId="88" fillId="0" borderId="19" xfId="0" applyNumberFormat="1" applyFont="1" applyFill="1" applyBorder="1" applyAlignment="1">
      <alignment horizontal="left"/>
    </xf>
    <xf numFmtId="1" fontId="88" fillId="0" borderId="16" xfId="0" applyNumberFormat="1" applyFont="1" applyFill="1" applyBorder="1" applyAlignment="1">
      <alignment horizontal="left"/>
    </xf>
    <xf numFmtId="1" fontId="88" fillId="0" borderId="19" xfId="42" applyNumberFormat="1" applyFont="1" applyBorder="1" applyAlignment="1">
      <alignment horizontal="left"/>
    </xf>
    <xf numFmtId="1" fontId="88" fillId="0" borderId="16" xfId="42" applyNumberFormat="1" applyFont="1" applyBorder="1" applyAlignment="1">
      <alignment horizontal="left"/>
    </xf>
    <xf numFmtId="1" fontId="88" fillId="0" borderId="18" xfId="42" applyNumberFormat="1" applyFont="1" applyBorder="1" applyAlignment="1">
      <alignment horizontal="left"/>
    </xf>
    <xf numFmtId="1" fontId="87" fillId="0" borderId="18" xfId="0" applyNumberFormat="1" applyFont="1" applyBorder="1" applyAlignment="1">
      <alignment horizontal="left"/>
    </xf>
    <xf numFmtId="1" fontId="88" fillId="0" borderId="14" xfId="44" applyNumberFormat="1" applyFont="1" applyBorder="1" applyAlignment="1">
      <alignment horizontal="left"/>
    </xf>
    <xf numFmtId="1" fontId="88" fillId="0" borderId="10" xfId="44" applyNumberFormat="1" applyFont="1" applyBorder="1" applyAlignment="1">
      <alignment horizontal="left"/>
    </xf>
    <xf numFmtId="1" fontId="88" fillId="0" borderId="14" xfId="42" applyNumberFormat="1" applyFont="1" applyBorder="1" applyAlignment="1">
      <alignment horizontal="left"/>
    </xf>
    <xf numFmtId="1" fontId="87" fillId="0" borderId="11" xfId="0" applyNumberFormat="1" applyFont="1" applyBorder="1" applyAlignment="1">
      <alignment horizontal="left"/>
    </xf>
    <xf numFmtId="1" fontId="87" fillId="0" borderId="10" xfId="0" applyNumberFormat="1" applyFont="1" applyFill="1" applyBorder="1" applyAlignment="1">
      <alignment horizontal="left"/>
    </xf>
    <xf numFmtId="1" fontId="87" fillId="0" borderId="54" xfId="0" applyNumberFormat="1" applyFont="1" applyBorder="1" applyAlignment="1">
      <alignment horizontal="left"/>
    </xf>
    <xf numFmtId="1" fontId="87" fillId="0" borderId="13" xfId="0" applyNumberFormat="1" applyFont="1" applyBorder="1" applyAlignment="1">
      <alignment horizontal="left"/>
    </xf>
    <xf numFmtId="1" fontId="87" fillId="0" borderId="21" xfId="0" applyNumberFormat="1" applyFont="1" applyBorder="1" applyAlignment="1">
      <alignment horizontal="left"/>
    </xf>
    <xf numFmtId="1" fontId="87" fillId="0" borderId="22" xfId="0" applyNumberFormat="1" applyFont="1" applyBorder="1" applyAlignment="1">
      <alignment horizontal="left"/>
    </xf>
    <xf numFmtId="1" fontId="87" fillId="0" borderId="21" xfId="0" applyNumberFormat="1" applyFont="1" applyFill="1" applyBorder="1" applyAlignment="1">
      <alignment horizontal="left"/>
    </xf>
    <xf numFmtId="1" fontId="91" fillId="0" borderId="52" xfId="0" applyNumberFormat="1" applyFont="1" applyFill="1" applyBorder="1" applyAlignment="1">
      <alignment horizontal="center" vertical="justify" wrapText="1"/>
    </xf>
    <xf numFmtId="2" fontId="83" fillId="0" borderId="37" xfId="0" applyNumberFormat="1" applyFont="1" applyBorder="1" applyAlignment="1">
      <alignment horizontal="left" vertical="center"/>
    </xf>
    <xf numFmtId="2" fontId="2" fillId="0" borderId="15" xfId="0" applyNumberFormat="1" applyFont="1" applyBorder="1" applyAlignment="1">
      <alignment horizontal="left"/>
    </xf>
    <xf numFmtId="2" fontId="83" fillId="0" borderId="10" xfId="44" applyNumberFormat="1" applyFont="1" applyBorder="1" applyAlignment="1">
      <alignment horizontal="left"/>
    </xf>
    <xf numFmtId="2" fontId="84" fillId="0" borderId="39" xfId="0" applyNumberFormat="1" applyFont="1" applyBorder="1" applyAlignment="1">
      <alignment horizontal="left"/>
    </xf>
    <xf numFmtId="2" fontId="84" fillId="0" borderId="32" xfId="0" applyNumberFormat="1" applyFont="1" applyBorder="1" applyAlignment="1">
      <alignment horizontal="left"/>
    </xf>
    <xf numFmtId="2" fontId="83" fillId="0" borderId="49" xfId="0" applyNumberFormat="1" applyFont="1" applyBorder="1" applyAlignment="1">
      <alignment horizontal="left"/>
    </xf>
    <xf numFmtId="2" fontId="84" fillId="0" borderId="38" xfId="44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2" fontId="88" fillId="0" borderId="39" xfId="42" applyNumberFormat="1" applyFont="1" applyBorder="1" applyAlignment="1">
      <alignment horizontal="left"/>
    </xf>
    <xf numFmtId="2" fontId="88" fillId="0" borderId="15" xfId="42" applyNumberFormat="1" applyFont="1" applyBorder="1" applyAlignment="1">
      <alignment horizontal="left"/>
    </xf>
    <xf numFmtId="2" fontId="88" fillId="0" borderId="32" xfId="42" applyNumberFormat="1" applyFont="1" applyBorder="1" applyAlignment="1">
      <alignment horizontal="left"/>
    </xf>
    <xf numFmtId="2" fontId="88" fillId="0" borderId="49" xfId="42" applyNumberFormat="1" applyFont="1" applyBorder="1" applyAlignment="1">
      <alignment horizontal="left"/>
    </xf>
    <xf numFmtId="1" fontId="84" fillId="0" borderId="28" xfId="0" applyNumberFormat="1" applyFont="1" applyBorder="1" applyAlignment="1">
      <alignment horizontal="left" vertical="center"/>
    </xf>
    <xf numFmtId="1" fontId="84" fillId="0" borderId="29" xfId="0" applyNumberFormat="1" applyFont="1" applyBorder="1" applyAlignment="1">
      <alignment horizontal="left"/>
    </xf>
    <xf numFmtId="1" fontId="84" fillId="0" borderId="28" xfId="0" applyNumberFormat="1" applyFont="1" applyBorder="1" applyAlignment="1">
      <alignment horizontal="left"/>
    </xf>
    <xf numFmtId="1" fontId="84" fillId="0" borderId="32" xfId="0" applyNumberFormat="1" applyFont="1" applyBorder="1" applyAlignment="1">
      <alignment horizontal="left"/>
    </xf>
    <xf numFmtId="3" fontId="85" fillId="0" borderId="29" xfId="0" applyNumberFormat="1" applyFont="1" applyBorder="1" applyAlignment="1">
      <alignment horizontal="left"/>
    </xf>
    <xf numFmtId="3" fontId="85" fillId="0" borderId="28" xfId="0" applyNumberFormat="1" applyFont="1" applyBorder="1" applyAlignment="1">
      <alignment horizontal="left"/>
    </xf>
    <xf numFmtId="1" fontId="84" fillId="0" borderId="29" xfId="0" applyNumberFormat="1" applyFont="1" applyFill="1" applyBorder="1" applyAlignment="1">
      <alignment horizontal="left"/>
    </xf>
    <xf numFmtId="1" fontId="84" fillId="0" borderId="28" xfId="0" applyNumberFormat="1" applyFont="1" applyFill="1" applyBorder="1" applyAlignment="1">
      <alignment horizontal="left"/>
    </xf>
    <xf numFmtId="1" fontId="84" fillId="0" borderId="29" xfId="42" applyNumberFormat="1" applyFont="1" applyBorder="1" applyAlignment="1">
      <alignment horizontal="left"/>
    </xf>
    <xf numFmtId="1" fontId="84" fillId="0" borderId="28" xfId="42" applyNumberFormat="1" applyFont="1" applyBorder="1" applyAlignment="1">
      <alignment horizontal="left"/>
    </xf>
    <xf numFmtId="1" fontId="83" fillId="0" borderId="81" xfId="0" applyNumberFormat="1" applyFont="1" applyBorder="1" applyAlignment="1">
      <alignment horizontal="left"/>
    </xf>
    <xf numFmtId="1" fontId="83" fillId="0" borderId="64" xfId="0" applyNumberFormat="1" applyFont="1" applyBorder="1" applyAlignment="1">
      <alignment horizontal="left"/>
    </xf>
    <xf numFmtId="1" fontId="83" fillId="0" borderId="63" xfId="0" applyNumberFormat="1" applyFont="1" applyBorder="1" applyAlignment="1">
      <alignment horizontal="left"/>
    </xf>
    <xf numFmtId="1" fontId="83" fillId="0" borderId="27" xfId="0" applyNumberFormat="1" applyFont="1" applyBorder="1" applyAlignment="1">
      <alignment horizontal="left"/>
    </xf>
    <xf numFmtId="1" fontId="100" fillId="0" borderId="69" xfId="0" applyNumberFormat="1" applyFont="1" applyBorder="1" applyAlignment="1">
      <alignment horizontal="left" vertical="center"/>
    </xf>
    <xf numFmtId="1" fontId="100" fillId="0" borderId="73" xfId="0" applyNumberFormat="1" applyFont="1" applyBorder="1" applyAlignment="1">
      <alignment horizontal="left" vertical="center"/>
    </xf>
    <xf numFmtId="1" fontId="100" fillId="0" borderId="78" xfId="0" applyNumberFormat="1" applyFont="1" applyBorder="1" applyAlignment="1">
      <alignment horizontal="left" vertical="center"/>
    </xf>
    <xf numFmtId="1" fontId="100" fillId="0" borderId="80" xfId="0" applyNumberFormat="1" applyFont="1" applyBorder="1" applyAlignment="1">
      <alignment horizontal="left" vertical="center"/>
    </xf>
    <xf numFmtId="1" fontId="100" fillId="0" borderId="67" xfId="0" applyNumberFormat="1" applyFont="1" applyBorder="1" applyAlignment="1">
      <alignment horizontal="left" vertical="center"/>
    </xf>
    <xf numFmtId="1" fontId="100" fillId="0" borderId="66" xfId="0" applyNumberFormat="1" applyFont="1" applyBorder="1" applyAlignment="1">
      <alignment horizontal="left" vertical="center"/>
    </xf>
    <xf numFmtId="1" fontId="100" fillId="0" borderId="78" xfId="0" applyNumberFormat="1" applyFont="1" applyBorder="1" applyAlignment="1">
      <alignment horizontal="left"/>
    </xf>
    <xf numFmtId="1" fontId="100" fillId="0" borderId="80" xfId="0" applyNumberFormat="1" applyFont="1" applyBorder="1" applyAlignment="1">
      <alignment horizontal="left"/>
    </xf>
    <xf numFmtId="1" fontId="98" fillId="0" borderId="67" xfId="42" applyNumberFormat="1" applyFont="1" applyBorder="1" applyAlignment="1">
      <alignment horizontal="left"/>
    </xf>
    <xf numFmtId="1" fontId="98" fillId="0" borderId="70" xfId="42" applyNumberFormat="1" applyFont="1" applyBorder="1" applyAlignment="1">
      <alignment horizontal="left"/>
    </xf>
    <xf numFmtId="1" fontId="100" fillId="0" borderId="67" xfId="0" applyNumberFormat="1" applyFont="1" applyBorder="1" applyAlignment="1">
      <alignment horizontal="left"/>
    </xf>
    <xf numFmtId="1" fontId="100" fillId="0" borderId="70" xfId="0" applyNumberFormat="1" applyFont="1" applyBorder="1" applyAlignment="1">
      <alignment horizontal="left"/>
    </xf>
    <xf numFmtId="1" fontId="83" fillId="0" borderId="31" xfId="0" applyNumberFormat="1" applyFont="1" applyBorder="1" applyAlignment="1">
      <alignment horizontal="left" vertical="center"/>
    </xf>
    <xf numFmtId="1" fontId="83" fillId="0" borderId="33" xfId="0" applyNumberFormat="1" applyFont="1" applyBorder="1" applyAlignment="1">
      <alignment horizontal="left" vertical="center"/>
    </xf>
    <xf numFmtId="1" fontId="83" fillId="0" borderId="30" xfId="0" applyNumberFormat="1" applyFont="1" applyBorder="1" applyAlignment="1">
      <alignment horizontal="left"/>
    </xf>
    <xf numFmtId="1" fontId="2" fillId="0" borderId="29" xfId="0" applyNumberFormat="1" applyFont="1" applyBorder="1" applyAlignment="1">
      <alignment horizontal="left"/>
    </xf>
    <xf numFmtId="1" fontId="2" fillId="0" borderId="28" xfId="0" applyNumberFormat="1" applyFont="1" applyBorder="1" applyAlignment="1">
      <alignment horizontal="left"/>
    </xf>
    <xf numFmtId="1" fontId="5" fillId="0" borderId="29" xfId="44" applyNumberFormat="1" applyFont="1" applyBorder="1" applyAlignment="1">
      <alignment horizontal="left"/>
    </xf>
    <xf numFmtId="1" fontId="5" fillId="0" borderId="28" xfId="44" applyNumberFormat="1" applyFont="1" applyBorder="1" applyAlignment="1">
      <alignment horizontal="left"/>
    </xf>
    <xf numFmtId="1" fontId="5" fillId="0" borderId="29" xfId="0" applyNumberFormat="1" applyFont="1" applyBorder="1" applyAlignment="1">
      <alignment horizontal="left"/>
    </xf>
    <xf numFmtId="1" fontId="5" fillId="0" borderId="28" xfId="0" applyNumberFormat="1" applyFont="1" applyBorder="1" applyAlignment="1">
      <alignment horizontal="left"/>
    </xf>
    <xf numFmtId="1" fontId="84" fillId="0" borderId="29" xfId="0" applyNumberFormat="1" applyFont="1" applyFill="1" applyBorder="1" applyAlignment="1">
      <alignment horizontal="left" vertical="top" wrapText="1"/>
    </xf>
    <xf numFmtId="1" fontId="84" fillId="0" borderId="28" xfId="0" applyNumberFormat="1" applyFont="1" applyFill="1" applyBorder="1" applyAlignment="1">
      <alignment horizontal="left" vertical="top" wrapText="1"/>
    </xf>
    <xf numFmtId="1" fontId="5" fillId="0" borderId="32" xfId="0" applyNumberFormat="1" applyFont="1" applyFill="1" applyBorder="1" applyAlignment="1">
      <alignment horizontal="left"/>
    </xf>
    <xf numFmtId="1" fontId="5" fillId="0" borderId="28" xfId="0" applyNumberFormat="1" applyFont="1" applyFill="1" applyBorder="1" applyAlignment="1">
      <alignment horizontal="left"/>
    </xf>
    <xf numFmtId="1" fontId="5" fillId="0" borderId="29" xfId="42" applyNumberFormat="1" applyFont="1" applyBorder="1" applyAlignment="1">
      <alignment horizontal="left"/>
    </xf>
    <xf numFmtId="1" fontId="5" fillId="0" borderId="28" xfId="42" applyNumberFormat="1" applyFont="1" applyBorder="1" applyAlignment="1">
      <alignment horizontal="left"/>
    </xf>
    <xf numFmtId="1" fontId="83" fillId="0" borderId="30" xfId="0" applyNumberFormat="1" applyFont="1" applyBorder="1" applyAlignment="1">
      <alignment horizontal="left" vertical="center"/>
    </xf>
    <xf numFmtId="1" fontId="83" fillId="0" borderId="42" xfId="0" applyNumberFormat="1" applyFont="1" applyBorder="1" applyAlignment="1">
      <alignment horizontal="left" vertical="center"/>
    </xf>
    <xf numFmtId="1" fontId="91" fillId="0" borderId="62" xfId="0" applyNumberFormat="1" applyFont="1" applyFill="1" applyBorder="1" applyAlignment="1">
      <alignment horizontal="center" vertical="center" wrapText="1"/>
    </xf>
    <xf numFmtId="0" fontId="113" fillId="0" borderId="40" xfId="0" applyFont="1" applyBorder="1" applyAlignment="1">
      <alignment/>
    </xf>
    <xf numFmtId="0" fontId="113" fillId="0" borderId="0" xfId="0" applyFont="1" applyAlignment="1">
      <alignment/>
    </xf>
    <xf numFmtId="1" fontId="88" fillId="0" borderId="39" xfId="0" applyNumberFormat="1" applyFont="1" applyBorder="1" applyAlignment="1">
      <alignment horizontal="left"/>
    </xf>
    <xf numFmtId="1" fontId="88" fillId="0" borderId="11" xfId="0" applyNumberFormat="1" applyFont="1" applyFill="1" applyBorder="1" applyAlignment="1">
      <alignment horizontal="left"/>
    </xf>
    <xf numFmtId="1" fontId="107" fillId="0" borderId="21" xfId="0" applyNumberFormat="1" applyFont="1" applyBorder="1" applyAlignment="1">
      <alignment horizontal="left"/>
    </xf>
    <xf numFmtId="3" fontId="107" fillId="0" borderId="21" xfId="0" applyNumberFormat="1" applyFont="1" applyBorder="1" applyAlignment="1">
      <alignment horizontal="left"/>
    </xf>
    <xf numFmtId="3" fontId="92" fillId="0" borderId="14" xfId="0" applyNumberFormat="1" applyFont="1" applyBorder="1" applyAlignment="1">
      <alignment horizontal="left"/>
    </xf>
    <xf numFmtId="3" fontId="92" fillId="0" borderId="12" xfId="0" applyNumberFormat="1" applyFont="1" applyBorder="1" applyAlignment="1">
      <alignment horizontal="left"/>
    </xf>
    <xf numFmtId="3" fontId="92" fillId="0" borderId="10" xfId="0" applyNumberFormat="1" applyFont="1" applyBorder="1" applyAlignment="1">
      <alignment horizontal="left"/>
    </xf>
    <xf numFmtId="1" fontId="84" fillId="0" borderId="22" xfId="0" applyNumberFormat="1" applyFont="1" applyBorder="1" applyAlignment="1">
      <alignment horizontal="left"/>
    </xf>
    <xf numFmtId="1" fontId="107" fillId="0" borderId="55" xfId="0" applyNumberFormat="1" applyFont="1" applyBorder="1" applyAlignment="1">
      <alignment horizontal="left" vertical="justify" wrapText="1"/>
    </xf>
    <xf numFmtId="1" fontId="88" fillId="0" borderId="40" xfId="0" applyNumberFormat="1" applyFont="1" applyBorder="1" applyAlignment="1">
      <alignment horizontal="left" vertical="center"/>
    </xf>
    <xf numFmtId="1" fontId="87" fillId="0" borderId="15" xfId="0" applyNumberFormat="1" applyFont="1" applyBorder="1" applyAlignment="1">
      <alignment horizontal="left"/>
    </xf>
    <xf numFmtId="1" fontId="87" fillId="0" borderId="55" xfId="0" applyNumberFormat="1" applyFont="1" applyBorder="1" applyAlignment="1">
      <alignment horizontal="left"/>
    </xf>
    <xf numFmtId="1" fontId="88" fillId="0" borderId="24" xfId="0" applyNumberFormat="1" applyFont="1" applyBorder="1" applyAlignment="1">
      <alignment horizontal="left" vertical="center"/>
    </xf>
    <xf numFmtId="0" fontId="89" fillId="0" borderId="82" xfId="0" applyFont="1" applyBorder="1" applyAlignment="1">
      <alignment horizontal="center" vertical="center"/>
    </xf>
    <xf numFmtId="0" fontId="90" fillId="0" borderId="41" xfId="0" applyFont="1" applyBorder="1" applyAlignment="1">
      <alignment horizontal="left"/>
    </xf>
    <xf numFmtId="0" fontId="87" fillId="0" borderId="41" xfId="0" applyFont="1" applyBorder="1" applyAlignment="1">
      <alignment/>
    </xf>
    <xf numFmtId="0" fontId="112" fillId="0" borderId="73" xfId="0" applyFont="1" applyBorder="1" applyAlignment="1">
      <alignment horizontal="center" vertical="center"/>
    </xf>
    <xf numFmtId="2" fontId="84" fillId="0" borderId="56" xfId="0" applyNumberFormat="1" applyFont="1" applyBorder="1" applyAlignment="1">
      <alignment horizontal="left"/>
    </xf>
    <xf numFmtId="1" fontId="83" fillId="0" borderId="55" xfId="0" applyNumberFormat="1" applyFont="1" applyBorder="1" applyAlignment="1">
      <alignment horizontal="left"/>
    </xf>
    <xf numFmtId="1" fontId="89" fillId="0" borderId="38" xfId="0" applyNumberFormat="1" applyFont="1" applyBorder="1" applyAlignment="1">
      <alignment horizontal="left" vertical="center"/>
    </xf>
    <xf numFmtId="1" fontId="89" fillId="0" borderId="16" xfId="0" applyNumberFormat="1" applyFont="1" applyBorder="1" applyAlignment="1">
      <alignment horizontal="left" vertical="center"/>
    </xf>
    <xf numFmtId="1" fontId="89" fillId="0" borderId="18" xfId="0" applyNumberFormat="1" applyFont="1" applyBorder="1" applyAlignment="1">
      <alignment horizontal="left" vertical="center"/>
    </xf>
    <xf numFmtId="1" fontId="89" fillId="0" borderId="19" xfId="0" applyNumberFormat="1" applyFont="1" applyBorder="1" applyAlignment="1">
      <alignment horizontal="left" vertical="center"/>
    </xf>
    <xf numFmtId="1" fontId="89" fillId="0" borderId="39" xfId="0" applyNumberFormat="1" applyFont="1" applyBorder="1" applyAlignment="1">
      <alignment horizontal="left" vertical="center"/>
    </xf>
    <xf numFmtId="1" fontId="89" fillId="0" borderId="60" xfId="0" applyNumberFormat="1" applyFont="1" applyBorder="1" applyAlignment="1">
      <alignment horizontal="left" vertical="center"/>
    </xf>
    <xf numFmtId="1" fontId="89" fillId="0" borderId="37" xfId="0" applyNumberFormat="1" applyFont="1" applyBorder="1" applyAlignment="1">
      <alignment horizontal="left" vertical="center"/>
    </xf>
    <xf numFmtId="1" fontId="88" fillId="0" borderId="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6" fillId="0" borderId="29" xfId="0" applyNumberFormat="1" applyFont="1" applyBorder="1" applyAlignment="1">
      <alignment horizontal="left"/>
    </xf>
    <xf numFmtId="1" fontId="6" fillId="0" borderId="28" xfId="0" applyNumberFormat="1" applyFont="1" applyBorder="1" applyAlignment="1">
      <alignment horizontal="left"/>
    </xf>
    <xf numFmtId="1" fontId="112" fillId="0" borderId="73" xfId="0" applyNumberFormat="1" applyFont="1" applyFill="1" applyBorder="1" applyAlignment="1">
      <alignment horizontal="left"/>
    </xf>
    <xf numFmtId="1" fontId="94" fillId="0" borderId="83" xfId="0" applyNumberFormat="1" applyFont="1" applyBorder="1" applyAlignment="1">
      <alignment horizontal="left"/>
    </xf>
    <xf numFmtId="1" fontId="92" fillId="0" borderId="16" xfId="0" applyNumberFormat="1" applyFont="1" applyBorder="1" applyAlignment="1">
      <alignment horizontal="left"/>
    </xf>
    <xf numFmtId="1" fontId="92" fillId="0" borderId="18" xfId="0" applyNumberFormat="1" applyFont="1" applyBorder="1" applyAlignment="1">
      <alignment horizontal="left"/>
    </xf>
    <xf numFmtId="1" fontId="92" fillId="0" borderId="12" xfId="0" applyNumberFormat="1" applyFont="1" applyBorder="1" applyAlignment="1">
      <alignment horizontal="left"/>
    </xf>
    <xf numFmtId="1" fontId="92" fillId="0" borderId="10" xfId="0" applyNumberFormat="1" applyFont="1" applyBorder="1" applyAlignment="1">
      <alignment horizontal="left"/>
    </xf>
    <xf numFmtId="1" fontId="83" fillId="0" borderId="0" xfId="0" applyNumberFormat="1" applyFont="1" applyAlignment="1">
      <alignment horizontal="left"/>
    </xf>
    <xf numFmtId="1" fontId="83" fillId="0" borderId="12" xfId="44" applyNumberFormat="1" applyFont="1" applyBorder="1" applyAlignment="1">
      <alignment horizontal="left"/>
    </xf>
    <xf numFmtId="1" fontId="83" fillId="0" borderId="15" xfId="44" applyNumberFormat="1" applyFont="1" applyBorder="1" applyAlignment="1">
      <alignment horizontal="left"/>
    </xf>
    <xf numFmtId="1" fontId="83" fillId="0" borderId="12" xfId="0" applyNumberFormat="1" applyFont="1" applyFill="1" applyBorder="1" applyAlignment="1">
      <alignment horizontal="left"/>
    </xf>
    <xf numFmtId="1" fontId="83" fillId="0" borderId="10" xfId="0" applyNumberFormat="1" applyFont="1" applyFill="1" applyBorder="1" applyAlignment="1">
      <alignment horizontal="left"/>
    </xf>
    <xf numFmtId="1" fontId="83" fillId="0" borderId="39" xfId="0" applyNumberFormat="1" applyFont="1" applyBorder="1" applyAlignment="1">
      <alignment horizontal="left" vertical="center"/>
    </xf>
    <xf numFmtId="1" fontId="83" fillId="0" borderId="20" xfId="0" applyNumberFormat="1" applyFont="1" applyBorder="1" applyAlignment="1">
      <alignment horizontal="left" vertical="center"/>
    </xf>
    <xf numFmtId="0" fontId="100" fillId="0" borderId="66" xfId="0" applyFont="1" applyBorder="1" applyAlignment="1">
      <alignment horizontal="left"/>
    </xf>
    <xf numFmtId="1" fontId="84" fillId="0" borderId="20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" fontId="2" fillId="0" borderId="64" xfId="0" applyNumberFormat="1" applyFont="1" applyBorder="1" applyAlignment="1">
      <alignment horizontal="left" vertical="center"/>
    </xf>
    <xf numFmtId="1" fontId="5" fillId="0" borderId="81" xfId="0" applyNumberFormat="1" applyFont="1" applyBorder="1" applyAlignment="1">
      <alignment horizontal="left"/>
    </xf>
    <xf numFmtId="1" fontId="5" fillId="0" borderId="64" xfId="0" applyNumberFormat="1" applyFont="1" applyBorder="1" applyAlignment="1">
      <alignment horizontal="left"/>
    </xf>
    <xf numFmtId="1" fontId="2" fillId="0" borderId="63" xfId="0" applyNumberFormat="1" applyFont="1" applyBorder="1" applyAlignment="1">
      <alignment horizontal="left"/>
    </xf>
    <xf numFmtId="1" fontId="2" fillId="0" borderId="81" xfId="0" applyNumberFormat="1" applyFont="1" applyBorder="1" applyAlignment="1">
      <alignment horizontal="left"/>
    </xf>
    <xf numFmtId="1" fontId="2" fillId="0" borderId="64" xfId="0" applyNumberFormat="1" applyFont="1" applyBorder="1" applyAlignment="1">
      <alignment horizontal="left"/>
    </xf>
    <xf numFmtId="1" fontId="5" fillId="0" borderId="84" xfId="0" applyNumberFormat="1" applyFont="1" applyBorder="1" applyAlignment="1">
      <alignment horizontal="left"/>
    </xf>
    <xf numFmtId="2" fontId="5" fillId="0" borderId="64" xfId="0" applyNumberFormat="1" applyFont="1" applyBorder="1" applyAlignment="1">
      <alignment horizontal="left"/>
    </xf>
    <xf numFmtId="0" fontId="5" fillId="0" borderId="81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1" fontId="5" fillId="0" borderId="81" xfId="0" applyNumberFormat="1" applyFont="1" applyFill="1" applyBorder="1" applyAlignment="1">
      <alignment horizontal="left"/>
    </xf>
    <xf numFmtId="1" fontId="5" fillId="0" borderId="64" xfId="0" applyNumberFormat="1" applyFont="1" applyFill="1" applyBorder="1" applyAlignment="1">
      <alignment horizontal="left"/>
    </xf>
    <xf numFmtId="1" fontId="5" fillId="0" borderId="81" xfId="42" applyNumberFormat="1" applyFont="1" applyBorder="1" applyAlignment="1">
      <alignment horizontal="left"/>
    </xf>
    <xf numFmtId="1" fontId="5" fillId="0" borderId="64" xfId="42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05" fillId="0" borderId="69" xfId="0" applyFont="1" applyBorder="1" applyAlignment="1">
      <alignment horizontal="left"/>
    </xf>
    <xf numFmtId="0" fontId="105" fillId="0" borderId="78" xfId="0" applyFont="1" applyBorder="1" applyAlignment="1">
      <alignment horizontal="left"/>
    </xf>
    <xf numFmtId="0" fontId="105" fillId="0" borderId="80" xfId="0" applyFont="1" applyBorder="1" applyAlignment="1">
      <alignment horizontal="left"/>
    </xf>
    <xf numFmtId="1" fontId="83" fillId="0" borderId="29" xfId="0" applyNumberFormat="1" applyFont="1" applyBorder="1" applyAlignment="1">
      <alignment horizontal="left" vertical="center"/>
    </xf>
    <xf numFmtId="1" fontId="83" fillId="0" borderId="28" xfId="0" applyNumberFormat="1" applyFont="1" applyBorder="1" applyAlignment="1">
      <alignment horizontal="left" vertical="center"/>
    </xf>
    <xf numFmtId="1" fontId="100" fillId="0" borderId="76" xfId="0" applyNumberFormat="1" applyFont="1" applyBorder="1" applyAlignment="1">
      <alignment horizontal="left" vertical="center"/>
    </xf>
    <xf numFmtId="1" fontId="100" fillId="0" borderId="70" xfId="0" applyNumberFormat="1" applyFont="1" applyBorder="1" applyAlignment="1">
      <alignment horizontal="left" vertical="center"/>
    </xf>
    <xf numFmtId="1" fontId="83" fillId="0" borderId="29" xfId="0" applyNumberFormat="1" applyFont="1" applyBorder="1" applyAlignment="1">
      <alignment horizontal="left"/>
    </xf>
    <xf numFmtId="1" fontId="83" fillId="0" borderId="28" xfId="0" applyNumberFormat="1" applyFont="1" applyBorder="1" applyAlignment="1">
      <alignment horizontal="left"/>
    </xf>
    <xf numFmtId="1" fontId="83" fillId="0" borderId="29" xfId="44" applyNumberFormat="1" applyFont="1" applyBorder="1" applyAlignment="1">
      <alignment horizontal="left"/>
    </xf>
    <xf numFmtId="1" fontId="83" fillId="0" borderId="32" xfId="44" applyNumberFormat="1" applyFont="1" applyBorder="1" applyAlignment="1">
      <alignment horizontal="left"/>
    </xf>
    <xf numFmtId="1" fontId="92" fillId="0" borderId="29" xfId="0" applyNumberFormat="1" applyFont="1" applyBorder="1" applyAlignment="1">
      <alignment horizontal="left"/>
    </xf>
    <xf numFmtId="1" fontId="92" fillId="0" borderId="28" xfId="0" applyNumberFormat="1" applyFont="1" applyBorder="1" applyAlignment="1">
      <alignment horizontal="left"/>
    </xf>
    <xf numFmtId="1" fontId="83" fillId="0" borderId="29" xfId="0" applyNumberFormat="1" applyFont="1" applyFill="1" applyBorder="1" applyAlignment="1">
      <alignment horizontal="left"/>
    </xf>
    <xf numFmtId="1" fontId="83" fillId="0" borderId="28" xfId="0" applyNumberFormat="1" applyFont="1" applyFill="1" applyBorder="1" applyAlignment="1">
      <alignment horizontal="left"/>
    </xf>
    <xf numFmtId="1" fontId="83" fillId="0" borderId="29" xfId="42" applyNumberFormat="1" applyFont="1" applyBorder="1" applyAlignment="1">
      <alignment horizontal="left"/>
    </xf>
    <xf numFmtId="1" fontId="83" fillId="0" borderId="28" xfId="42" applyNumberFormat="1" applyFont="1" applyBorder="1" applyAlignment="1">
      <alignment horizontal="left"/>
    </xf>
    <xf numFmtId="1" fontId="83" fillId="0" borderId="81" xfId="0" applyNumberFormat="1" applyFont="1" applyBorder="1" applyAlignment="1">
      <alignment horizontal="left" vertical="center"/>
    </xf>
    <xf numFmtId="1" fontId="83" fillId="0" borderId="64" xfId="0" applyNumberFormat="1" applyFont="1" applyBorder="1" applyAlignment="1">
      <alignment horizontal="left" vertical="center"/>
    </xf>
    <xf numFmtId="1" fontId="84" fillId="0" borderId="81" xfId="0" applyNumberFormat="1" applyFont="1" applyBorder="1" applyAlignment="1">
      <alignment horizontal="left"/>
    </xf>
    <xf numFmtId="1" fontId="84" fillId="0" borderId="64" xfId="0" applyNumberFormat="1" applyFont="1" applyBorder="1" applyAlignment="1">
      <alignment horizontal="left"/>
    </xf>
    <xf numFmtId="2" fontId="84" fillId="0" borderId="81" xfId="0" applyNumberFormat="1" applyFont="1" applyBorder="1" applyAlignment="1">
      <alignment horizontal="left"/>
    </xf>
    <xf numFmtId="2" fontId="84" fillId="0" borderId="64" xfId="0" applyNumberFormat="1" applyFont="1" applyBorder="1" applyAlignment="1">
      <alignment horizontal="left"/>
    </xf>
    <xf numFmtId="1" fontId="84" fillId="0" borderId="84" xfId="0" applyNumberFormat="1" applyFont="1" applyBorder="1" applyAlignment="1">
      <alignment horizontal="left"/>
    </xf>
    <xf numFmtId="0" fontId="84" fillId="0" borderId="81" xfId="0" applyFont="1" applyBorder="1" applyAlignment="1">
      <alignment horizontal="left"/>
    </xf>
    <xf numFmtId="0" fontId="84" fillId="0" borderId="64" xfId="0" applyFont="1" applyBorder="1" applyAlignment="1">
      <alignment horizontal="left"/>
    </xf>
    <xf numFmtId="0" fontId="85" fillId="0" borderId="81" xfId="0" applyFont="1" applyBorder="1" applyAlignment="1">
      <alignment horizontal="left"/>
    </xf>
    <xf numFmtId="0" fontId="85" fillId="0" borderId="64" xfId="0" applyFont="1" applyBorder="1" applyAlignment="1">
      <alignment horizontal="left"/>
    </xf>
    <xf numFmtId="1" fontId="84" fillId="0" borderId="81" xfId="0" applyNumberFormat="1" applyFont="1" applyFill="1" applyBorder="1" applyAlignment="1">
      <alignment horizontal="left"/>
    </xf>
    <xf numFmtId="1" fontId="84" fillId="0" borderId="64" xfId="0" applyNumberFormat="1" applyFont="1" applyFill="1" applyBorder="1" applyAlignment="1">
      <alignment horizontal="left"/>
    </xf>
    <xf numFmtId="1" fontId="84" fillId="0" borderId="81" xfId="42" applyNumberFormat="1" applyFont="1" applyBorder="1" applyAlignment="1">
      <alignment horizontal="left"/>
    </xf>
    <xf numFmtId="1" fontId="84" fillId="0" borderId="64" xfId="42" applyNumberFormat="1" applyFont="1" applyBorder="1" applyAlignment="1">
      <alignment horizontal="left"/>
    </xf>
    <xf numFmtId="1" fontId="83" fillId="0" borderId="63" xfId="0" applyNumberFormat="1" applyFont="1" applyBorder="1" applyAlignment="1">
      <alignment horizontal="left" vertical="center"/>
    </xf>
    <xf numFmtId="1" fontId="83" fillId="0" borderId="27" xfId="0" applyNumberFormat="1" applyFont="1" applyBorder="1" applyAlignment="1">
      <alignment horizontal="left" vertical="center"/>
    </xf>
    <xf numFmtId="0" fontId="87" fillId="0" borderId="26" xfId="0" applyFont="1" applyBorder="1" applyAlignment="1">
      <alignment horizontal="left"/>
    </xf>
    <xf numFmtId="0" fontId="87" fillId="0" borderId="24" xfId="0" applyFont="1" applyBorder="1" applyAlignment="1">
      <alignment horizontal="left"/>
    </xf>
    <xf numFmtId="0" fontId="87" fillId="0" borderId="58" xfId="0" applyFont="1" applyBorder="1" applyAlignment="1">
      <alignment horizontal="left"/>
    </xf>
    <xf numFmtId="1" fontId="91" fillId="0" borderId="52" xfId="0" applyNumberFormat="1" applyFont="1" applyFill="1" applyBorder="1" applyAlignment="1">
      <alignment horizontal="left" vertical="center" wrapText="1"/>
    </xf>
    <xf numFmtId="0" fontId="87" fillId="0" borderId="46" xfId="0" applyFont="1" applyBorder="1" applyAlignment="1">
      <alignment horizontal="left"/>
    </xf>
    <xf numFmtId="0" fontId="87" fillId="0" borderId="71" xfId="0" applyFont="1" applyBorder="1" applyAlignment="1">
      <alignment horizontal="left"/>
    </xf>
    <xf numFmtId="0" fontId="87" fillId="0" borderId="25" xfId="0" applyFont="1" applyBorder="1" applyAlignment="1">
      <alignment horizontal="left"/>
    </xf>
    <xf numFmtId="0" fontId="88" fillId="0" borderId="26" xfId="0" applyFont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9" fillId="0" borderId="52" xfId="0" applyFont="1" applyBorder="1" applyAlignment="1">
      <alignment horizontal="left" vertical="center"/>
    </xf>
    <xf numFmtId="0" fontId="89" fillId="0" borderId="23" xfId="0" applyFont="1" applyBorder="1" applyAlignment="1">
      <alignment horizontal="left" vertical="center"/>
    </xf>
    <xf numFmtId="1" fontId="84" fillId="0" borderId="0" xfId="0" applyNumberFormat="1" applyFont="1" applyAlignment="1">
      <alignment horizontal="justify" vertical="justify" wrapText="1"/>
    </xf>
    <xf numFmtId="0" fontId="84" fillId="0" borderId="0" xfId="0" applyFont="1" applyAlignment="1">
      <alignment horizontal="justify" vertical="justify" wrapText="1"/>
    </xf>
    <xf numFmtId="0" fontId="114" fillId="0" borderId="24" xfId="0" applyFont="1" applyBorder="1" applyAlignment="1">
      <alignment horizontal="left"/>
    </xf>
    <xf numFmtId="1" fontId="114" fillId="0" borderId="14" xfId="0" applyNumberFormat="1" applyFont="1" applyBorder="1" applyAlignment="1">
      <alignment horizontal="left" vertical="center"/>
    </xf>
    <xf numFmtId="1" fontId="114" fillId="0" borderId="26" xfId="0" applyNumberFormat="1" applyFont="1" applyBorder="1" applyAlignment="1">
      <alignment horizontal="left" vertical="center"/>
    </xf>
    <xf numFmtId="1" fontId="114" fillId="0" borderId="25" xfId="0" applyNumberFormat="1" applyFont="1" applyBorder="1" applyAlignment="1">
      <alignment horizontal="left" vertical="center"/>
    </xf>
    <xf numFmtId="1" fontId="114" fillId="0" borderId="11" xfId="0" applyNumberFormat="1" applyFont="1" applyBorder="1" applyAlignment="1">
      <alignment horizontal="left" vertical="center"/>
    </xf>
    <xf numFmtId="1" fontId="114" fillId="0" borderId="10" xfId="0" applyNumberFormat="1" applyFont="1" applyBorder="1" applyAlignment="1">
      <alignment horizontal="left" vertical="center"/>
    </xf>
    <xf numFmtId="2" fontId="114" fillId="0" borderId="14" xfId="0" applyNumberFormat="1" applyFont="1" applyBorder="1" applyAlignment="1">
      <alignment horizontal="left" vertical="center"/>
    </xf>
    <xf numFmtId="2" fontId="114" fillId="0" borderId="26" xfId="0" applyNumberFormat="1" applyFont="1" applyBorder="1" applyAlignment="1">
      <alignment horizontal="left" vertical="center"/>
    </xf>
    <xf numFmtId="1" fontId="114" fillId="0" borderId="11" xfId="0" applyNumberFormat="1" applyFont="1" applyBorder="1" applyAlignment="1">
      <alignment horizontal="left"/>
    </xf>
    <xf numFmtId="1" fontId="114" fillId="0" borderId="24" xfId="0" applyNumberFormat="1" applyFont="1" applyBorder="1" applyAlignment="1">
      <alignment horizontal="left"/>
    </xf>
    <xf numFmtId="0" fontId="115" fillId="0" borderId="0" xfId="0" applyFont="1" applyAlignment="1">
      <alignment horizontal="left"/>
    </xf>
    <xf numFmtId="0" fontId="91" fillId="0" borderId="57" xfId="0" applyFont="1" applyBorder="1" applyAlignment="1">
      <alignment horizontal="left" vertical="center"/>
    </xf>
    <xf numFmtId="3" fontId="107" fillId="0" borderId="22" xfId="0" applyNumberFormat="1" applyFont="1" applyBorder="1" applyAlignment="1">
      <alignment horizontal="left"/>
    </xf>
    <xf numFmtId="1" fontId="114" fillId="0" borderId="15" xfId="0" applyNumberFormat="1" applyFont="1" applyBorder="1" applyAlignment="1">
      <alignment horizontal="left"/>
    </xf>
    <xf numFmtId="1" fontId="114" fillId="0" borderId="40" xfId="0" applyNumberFormat="1" applyFont="1" applyBorder="1" applyAlignment="1">
      <alignment horizontal="left" vertical="center"/>
    </xf>
    <xf numFmtId="1" fontId="114" fillId="0" borderId="26" xfId="0" applyNumberFormat="1" applyFont="1" applyBorder="1" applyAlignment="1">
      <alignment horizontal="left"/>
    </xf>
    <xf numFmtId="1" fontId="114" fillId="0" borderId="25" xfId="0" applyNumberFormat="1" applyFont="1" applyBorder="1" applyAlignment="1">
      <alignment horizontal="left"/>
    </xf>
    <xf numFmtId="1" fontId="114" fillId="0" borderId="11" xfId="42" applyNumberFormat="1" applyFont="1" applyBorder="1" applyAlignment="1">
      <alignment horizontal="left"/>
    </xf>
    <xf numFmtId="1" fontId="114" fillId="0" borderId="0" xfId="0" applyNumberFormat="1" applyFont="1" applyAlignment="1">
      <alignment horizontal="left"/>
    </xf>
    <xf numFmtId="1" fontId="114" fillId="0" borderId="24" xfId="0" applyNumberFormat="1" applyFont="1" applyBorder="1" applyAlignment="1">
      <alignment horizontal="left" vertical="center"/>
    </xf>
    <xf numFmtId="1" fontId="114" fillId="0" borderId="14" xfId="42" applyNumberFormat="1" applyFont="1" applyBorder="1" applyAlignment="1">
      <alignment horizontal="left"/>
    </xf>
    <xf numFmtId="1" fontId="114" fillId="0" borderId="25" xfId="42" applyNumberFormat="1" applyFont="1" applyBorder="1" applyAlignment="1">
      <alignment horizontal="left"/>
    </xf>
    <xf numFmtId="1" fontId="83" fillId="0" borderId="0" xfId="0" applyNumberFormat="1" applyFont="1" applyFill="1" applyBorder="1" applyAlignment="1">
      <alignment/>
    </xf>
    <xf numFmtId="1" fontId="116" fillId="0" borderId="34" xfId="0" applyNumberFormat="1" applyFont="1" applyBorder="1" applyAlignment="1">
      <alignment/>
    </xf>
    <xf numFmtId="1" fontId="93" fillId="0" borderId="0" xfId="0" applyNumberFormat="1" applyFont="1" applyAlignment="1">
      <alignment horizontal="justify" vertical="justify" wrapText="1"/>
    </xf>
    <xf numFmtId="0" fontId="117" fillId="0" borderId="40" xfId="0" applyFont="1" applyBorder="1" applyAlignment="1">
      <alignment horizontal="left"/>
    </xf>
    <xf numFmtId="1" fontId="118" fillId="0" borderId="11" xfId="0" applyNumberFormat="1" applyFont="1" applyBorder="1" applyAlignment="1">
      <alignment horizontal="left" vertical="center"/>
    </xf>
    <xf numFmtId="0" fontId="4" fillId="0" borderId="0" xfId="0" applyFont="1" applyAlignment="1">
      <alignment horizontal="justify" vertical="justify" wrapText="1"/>
    </xf>
    <xf numFmtId="0" fontId="93" fillId="0" borderId="0" xfId="0" applyFont="1" applyAlignment="1">
      <alignment horizontal="justify" vertical="justify" wrapText="1"/>
    </xf>
    <xf numFmtId="2" fontId="88" fillId="0" borderId="19" xfId="0" applyNumberFormat="1" applyFont="1" applyFill="1" applyBorder="1" applyAlignment="1">
      <alignment horizontal="left"/>
    </xf>
    <xf numFmtId="2" fontId="88" fillId="0" borderId="14" xfId="0" applyNumberFormat="1" applyFont="1" applyFill="1" applyBorder="1" applyAlignment="1">
      <alignment horizontal="left"/>
    </xf>
    <xf numFmtId="2" fontId="88" fillId="0" borderId="30" xfId="0" applyNumberFormat="1" applyFont="1" applyFill="1" applyBorder="1" applyAlignment="1">
      <alignment horizontal="left"/>
    </xf>
    <xf numFmtId="2" fontId="88" fillId="0" borderId="51" xfId="0" applyNumberFormat="1" applyFont="1" applyFill="1" applyBorder="1" applyAlignment="1">
      <alignment horizontal="left"/>
    </xf>
    <xf numFmtId="172" fontId="90" fillId="0" borderId="38" xfId="0" applyNumberFormat="1" applyFont="1" applyBorder="1" applyAlignment="1">
      <alignment horizontal="left"/>
    </xf>
    <xf numFmtId="172" fontId="90" fillId="0" borderId="18" xfId="0" applyNumberFormat="1" applyFont="1" applyBorder="1" applyAlignment="1">
      <alignment horizontal="left"/>
    </xf>
    <xf numFmtId="172" fontId="90" fillId="0" borderId="11" xfId="0" applyNumberFormat="1" applyFont="1" applyBorder="1" applyAlignment="1">
      <alignment horizontal="left"/>
    </xf>
    <xf numFmtId="172" fontId="90" fillId="0" borderId="10" xfId="0" applyNumberFormat="1" applyFont="1" applyBorder="1" applyAlignment="1">
      <alignment horizontal="left"/>
    </xf>
    <xf numFmtId="0" fontId="90" fillId="0" borderId="11" xfId="0" applyFont="1" applyBorder="1" applyAlignment="1">
      <alignment horizontal="left"/>
    </xf>
    <xf numFmtId="0" fontId="90" fillId="0" borderId="10" xfId="0" applyFont="1" applyBorder="1" applyAlignment="1">
      <alignment horizontal="left"/>
    </xf>
    <xf numFmtId="172" fontId="90" fillId="0" borderId="31" xfId="0" applyNumberFormat="1" applyFont="1" applyBorder="1" applyAlignment="1">
      <alignment horizontal="left"/>
    </xf>
    <xf numFmtId="172" fontId="90" fillId="0" borderId="28" xfId="0" applyNumberFormat="1" applyFont="1" applyBorder="1" applyAlignment="1">
      <alignment horizontal="left"/>
    </xf>
    <xf numFmtId="2" fontId="89" fillId="0" borderId="65" xfId="0" applyNumberFormat="1" applyFont="1" applyBorder="1" applyAlignment="1">
      <alignment horizontal="left"/>
    </xf>
    <xf numFmtId="2" fontId="89" fillId="0" borderId="25" xfId="0" applyNumberFormat="1" applyFont="1" applyBorder="1" applyAlignment="1">
      <alignment horizontal="left"/>
    </xf>
    <xf numFmtId="2" fontId="89" fillId="0" borderId="75" xfId="0" applyNumberFormat="1" applyFont="1" applyBorder="1" applyAlignment="1">
      <alignment horizontal="left"/>
    </xf>
    <xf numFmtId="2" fontId="102" fillId="0" borderId="61" xfId="0" applyNumberFormat="1" applyFont="1" applyBorder="1" applyAlignment="1">
      <alignment horizontal="left"/>
    </xf>
    <xf numFmtId="2" fontId="89" fillId="0" borderId="61" xfId="0" applyNumberFormat="1" applyFont="1" applyBorder="1" applyAlignment="1">
      <alignment horizontal="left"/>
    </xf>
    <xf numFmtId="2" fontId="102" fillId="0" borderId="68" xfId="0" applyNumberFormat="1" applyFont="1" applyBorder="1" applyAlignment="1">
      <alignment horizontal="left"/>
    </xf>
    <xf numFmtId="2" fontId="102" fillId="0" borderId="52" xfId="42" applyNumberFormat="1" applyFont="1" applyBorder="1" applyAlignment="1">
      <alignment horizontal="left"/>
    </xf>
    <xf numFmtId="2" fontId="5" fillId="0" borderId="85" xfId="0" applyNumberFormat="1" applyFont="1" applyBorder="1" applyAlignment="1">
      <alignment horizontal="left"/>
    </xf>
    <xf numFmtId="1" fontId="93" fillId="0" borderId="14" xfId="42" applyNumberFormat="1" applyFont="1" applyBorder="1" applyAlignment="1">
      <alignment horizontal="left"/>
    </xf>
    <xf numFmtId="1" fontId="93" fillId="0" borderId="30" xfId="42" applyNumberFormat="1" applyFont="1" applyBorder="1" applyAlignment="1">
      <alignment horizontal="left"/>
    </xf>
    <xf numFmtId="1" fontId="93" fillId="0" borderId="11" xfId="42" applyNumberFormat="1" applyFont="1" applyBorder="1" applyAlignment="1">
      <alignment horizontal="left"/>
    </xf>
    <xf numFmtId="1" fontId="93" fillId="0" borderId="31" xfId="42" applyNumberFormat="1" applyFont="1" applyBorder="1" applyAlignment="1">
      <alignment horizontal="left"/>
    </xf>
    <xf numFmtId="1" fontId="93" fillId="0" borderId="11" xfId="0" applyNumberFormat="1" applyFont="1" applyFill="1" applyBorder="1" applyAlignment="1">
      <alignment horizontal="left"/>
    </xf>
    <xf numFmtId="1" fontId="93" fillId="0" borderId="31" xfId="0" applyNumberFormat="1" applyFont="1" applyFill="1" applyBorder="1" applyAlignment="1">
      <alignment horizontal="left"/>
    </xf>
    <xf numFmtId="1" fontId="90" fillId="0" borderId="11" xfId="0" applyNumberFormat="1" applyFont="1" applyBorder="1" applyAlignment="1">
      <alignment horizontal="left"/>
    </xf>
    <xf numFmtId="1" fontId="90" fillId="0" borderId="31" xfId="0" applyNumberFormat="1" applyFont="1" applyBorder="1" applyAlignment="1">
      <alignment horizontal="left"/>
    </xf>
    <xf numFmtId="1" fontId="114" fillId="0" borderId="4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1" fontId="93" fillId="0" borderId="11" xfId="44" applyNumberFormat="1" applyFont="1" applyBorder="1" applyAlignment="1">
      <alignment horizontal="left"/>
    </xf>
    <xf numFmtId="1" fontId="93" fillId="0" borderId="31" xfId="44" applyNumberFormat="1" applyFont="1" applyBorder="1" applyAlignment="1">
      <alignment horizontal="left"/>
    </xf>
    <xf numFmtId="1" fontId="93" fillId="0" borderId="17" xfId="0" applyNumberFormat="1" applyFont="1" applyBorder="1" applyAlignment="1">
      <alignment horizontal="left"/>
    </xf>
    <xf numFmtId="1" fontId="91" fillId="0" borderId="82" xfId="0" applyNumberFormat="1" applyFont="1" applyBorder="1" applyAlignment="1">
      <alignment horizontal="justify" vertical="justify" wrapText="1"/>
    </xf>
    <xf numFmtId="1" fontId="91" fillId="0" borderId="77" xfId="0" applyNumberFormat="1" applyFont="1" applyBorder="1" applyAlignment="1">
      <alignment vertical="center"/>
    </xf>
    <xf numFmtId="1" fontId="93" fillId="0" borderId="11" xfId="0" applyNumberFormat="1" applyFont="1" applyBorder="1" applyAlignment="1">
      <alignment horizontal="left" vertical="center"/>
    </xf>
    <xf numFmtId="1" fontId="91" fillId="0" borderId="11" xfId="0" applyNumberFormat="1" applyFont="1" applyBorder="1" applyAlignment="1">
      <alignment horizontal="left" vertical="center"/>
    </xf>
    <xf numFmtId="1" fontId="93" fillId="0" borderId="31" xfId="0" applyNumberFormat="1" applyFont="1" applyBorder="1" applyAlignment="1">
      <alignment horizontal="left" vertical="center"/>
    </xf>
    <xf numFmtId="1" fontId="91" fillId="0" borderId="10" xfId="0" applyNumberFormat="1" applyFont="1" applyBorder="1" applyAlignment="1">
      <alignment horizontal="left" vertical="center"/>
    </xf>
    <xf numFmtId="1" fontId="93" fillId="0" borderId="28" xfId="0" applyNumberFormat="1" applyFont="1" applyBorder="1" applyAlignment="1">
      <alignment horizontal="left" vertical="center"/>
    </xf>
    <xf numFmtId="1" fontId="93" fillId="0" borderId="33" xfId="0" applyNumberFormat="1" applyFont="1" applyBorder="1" applyAlignment="1">
      <alignment horizontal="left" vertical="center"/>
    </xf>
    <xf numFmtId="0" fontId="94" fillId="0" borderId="41" xfId="0" applyFont="1" applyBorder="1" applyAlignment="1">
      <alignment horizontal="left"/>
    </xf>
    <xf numFmtId="0" fontId="91" fillId="0" borderId="38" xfId="0" applyFont="1" applyBorder="1" applyAlignment="1">
      <alignment horizontal="left" vertical="center"/>
    </xf>
    <xf numFmtId="2" fontId="93" fillId="0" borderId="11" xfId="0" applyNumberFormat="1" applyFont="1" applyBorder="1" applyAlignment="1">
      <alignment horizontal="left" vertical="center"/>
    </xf>
    <xf numFmtId="2" fontId="91" fillId="0" borderId="11" xfId="0" applyNumberFormat="1" applyFont="1" applyBorder="1" applyAlignment="1">
      <alignment horizontal="left" vertical="center"/>
    </xf>
    <xf numFmtId="2" fontId="93" fillId="0" borderId="31" xfId="0" applyNumberFormat="1" applyFont="1" applyBorder="1" applyAlignment="1">
      <alignment horizontal="left" vertical="center"/>
    </xf>
    <xf numFmtId="2" fontId="107" fillId="0" borderId="47" xfId="0" applyNumberFormat="1" applyFont="1" applyBorder="1" applyAlignment="1">
      <alignment horizontal="left" vertical="center"/>
    </xf>
    <xf numFmtId="0" fontId="93" fillId="0" borderId="69" xfId="0" applyFont="1" applyBorder="1" applyAlignment="1">
      <alignment horizontal="left"/>
    </xf>
    <xf numFmtId="1" fontId="93" fillId="0" borderId="63" xfId="0" applyNumberFormat="1" applyFont="1" applyBorder="1" applyAlignment="1">
      <alignment horizontal="left"/>
    </xf>
    <xf numFmtId="0" fontId="91" fillId="0" borderId="19" xfId="0" applyFont="1" applyBorder="1" applyAlignment="1">
      <alignment horizontal="left" vertical="center"/>
    </xf>
    <xf numFmtId="2" fontId="93" fillId="0" borderId="14" xfId="0" applyNumberFormat="1" applyFont="1" applyBorder="1" applyAlignment="1">
      <alignment horizontal="left"/>
    </xf>
    <xf numFmtId="2" fontId="91" fillId="0" borderId="14" xfId="0" applyNumberFormat="1" applyFont="1" applyBorder="1" applyAlignment="1">
      <alignment horizontal="left"/>
    </xf>
    <xf numFmtId="2" fontId="93" fillId="0" borderId="30" xfId="0" applyNumberFormat="1" applyFont="1" applyBorder="1" applyAlignment="1">
      <alignment horizontal="left"/>
    </xf>
    <xf numFmtId="2" fontId="93" fillId="0" borderId="14" xfId="44" applyNumberFormat="1" applyFont="1" applyBorder="1" applyAlignment="1">
      <alignment horizontal="left"/>
    </xf>
    <xf numFmtId="2" fontId="93" fillId="0" borderId="30" xfId="44" applyNumberFormat="1" applyFont="1" applyBorder="1" applyAlignment="1">
      <alignment horizontal="left"/>
    </xf>
    <xf numFmtId="2" fontId="93" fillId="0" borderId="28" xfId="44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93" fillId="0" borderId="51" xfId="0" applyFont="1" applyBorder="1" applyAlignment="1">
      <alignment horizontal="left"/>
    </xf>
    <xf numFmtId="1" fontId="107" fillId="0" borderId="68" xfId="0" applyNumberFormat="1" applyFont="1" applyBorder="1" applyAlignment="1">
      <alignment horizontal="left" vertical="center"/>
    </xf>
    <xf numFmtId="0" fontId="93" fillId="0" borderId="36" xfId="0" applyFont="1" applyBorder="1" applyAlignment="1">
      <alignment horizontal="left"/>
    </xf>
    <xf numFmtId="1" fontId="93" fillId="0" borderId="14" xfId="0" applyNumberFormat="1" applyFont="1" applyFill="1" applyBorder="1" applyAlignment="1">
      <alignment horizontal="left"/>
    </xf>
    <xf numFmtId="1" fontId="93" fillId="0" borderId="30" xfId="0" applyNumberFormat="1" applyFont="1" applyFill="1" applyBorder="1" applyAlignment="1">
      <alignment horizontal="left"/>
    </xf>
    <xf numFmtId="1" fontId="93" fillId="0" borderId="10" xfId="0" applyNumberFormat="1" applyFont="1" applyFill="1" applyBorder="1" applyAlignment="1">
      <alignment horizontal="left"/>
    </xf>
    <xf numFmtId="1" fontId="93" fillId="0" borderId="28" xfId="0" applyNumberFormat="1" applyFont="1" applyFill="1" applyBorder="1" applyAlignment="1">
      <alignment horizontal="left"/>
    </xf>
    <xf numFmtId="1" fontId="107" fillId="0" borderId="51" xfId="0" applyNumberFormat="1" applyFont="1" applyBorder="1" applyAlignment="1">
      <alignment horizontal="left"/>
    </xf>
    <xf numFmtId="1" fontId="93" fillId="0" borderId="51" xfId="0" applyNumberFormat="1" applyFont="1" applyBorder="1" applyAlignment="1">
      <alignment horizontal="left"/>
    </xf>
    <xf numFmtId="0" fontId="105" fillId="0" borderId="77" xfId="0" applyFont="1" applyBorder="1" applyAlignment="1">
      <alignment horizontal="left"/>
    </xf>
    <xf numFmtId="1" fontId="107" fillId="0" borderId="54" xfId="0" applyNumberFormat="1" applyFont="1" applyBorder="1" applyAlignment="1">
      <alignment horizontal="left" vertical="center"/>
    </xf>
    <xf numFmtId="1" fontId="107" fillId="0" borderId="22" xfId="0" applyNumberFormat="1" applyFont="1" applyBorder="1" applyAlignment="1">
      <alignment horizontal="left"/>
    </xf>
    <xf numFmtId="0" fontId="91" fillId="0" borderId="71" xfId="0" applyFont="1" applyBorder="1" applyAlignment="1">
      <alignment horizontal="left" vertical="center"/>
    </xf>
    <xf numFmtId="2" fontId="93" fillId="0" borderId="26" xfId="44" applyNumberFormat="1" applyFont="1" applyBorder="1" applyAlignment="1">
      <alignment horizontal="left"/>
    </xf>
    <xf numFmtId="1" fontId="93" fillId="0" borderId="26" xfId="44" applyNumberFormat="1" applyFont="1" applyBorder="1" applyAlignment="1">
      <alignment horizontal="left"/>
    </xf>
    <xf numFmtId="1" fontId="93" fillId="0" borderId="26" xfId="0" applyNumberFormat="1" applyFont="1" applyBorder="1" applyAlignment="1">
      <alignment horizontal="left"/>
    </xf>
    <xf numFmtId="1" fontId="107" fillId="0" borderId="74" xfId="0" applyNumberFormat="1" applyFont="1" applyBorder="1" applyAlignment="1">
      <alignment horizontal="left"/>
    </xf>
    <xf numFmtId="1" fontId="93" fillId="0" borderId="24" xfId="0" applyNumberFormat="1" applyFont="1" applyBorder="1" applyAlignment="1">
      <alignment horizontal="left"/>
    </xf>
    <xf numFmtId="2" fontId="93" fillId="0" borderId="14" xfId="42" applyNumberFormat="1" applyFont="1" applyBorder="1" applyAlignment="1">
      <alignment horizontal="left"/>
    </xf>
    <xf numFmtId="1" fontId="107" fillId="0" borderId="22" xfId="42" applyNumberFormat="1" applyFont="1" applyBorder="1" applyAlignment="1">
      <alignment horizontal="left"/>
    </xf>
    <xf numFmtId="2" fontId="93" fillId="0" borderId="10" xfId="0" applyNumberFormat="1" applyFont="1" applyFill="1" applyBorder="1" applyAlignment="1">
      <alignment horizontal="left"/>
    </xf>
    <xf numFmtId="1" fontId="107" fillId="0" borderId="21" xfId="0" applyNumberFormat="1" applyFont="1" applyFill="1" applyBorder="1" applyAlignment="1">
      <alignment horizontal="left"/>
    </xf>
    <xf numFmtId="1" fontId="93" fillId="0" borderId="0" xfId="0" applyNumberFormat="1" applyFont="1" applyFill="1" applyAlignment="1">
      <alignment horizontal="justify" vertical="justify" wrapText="1"/>
    </xf>
    <xf numFmtId="0" fontId="83" fillId="0" borderId="72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center" vertical="justify" wrapText="1"/>
    </xf>
    <xf numFmtId="0" fontId="4" fillId="0" borderId="70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34" xfId="0" applyFont="1" applyBorder="1" applyAlignment="1">
      <alignment horizontal="center" vertical="justify" wrapText="1"/>
    </xf>
    <xf numFmtId="0" fontId="4" fillId="0" borderId="35" xfId="0" applyFont="1" applyBorder="1" applyAlignment="1">
      <alignment horizontal="center" vertical="justify" wrapText="1"/>
    </xf>
    <xf numFmtId="0" fontId="4" fillId="0" borderId="68" xfId="0" applyFont="1" applyBorder="1" applyAlignment="1">
      <alignment horizontal="center" vertical="justify" wrapText="1"/>
    </xf>
    <xf numFmtId="0" fontId="4" fillId="0" borderId="47" xfId="0" applyFont="1" applyBorder="1" applyAlignment="1">
      <alignment horizontal="center" vertical="justify" wrapText="1"/>
    </xf>
    <xf numFmtId="0" fontId="4" fillId="0" borderId="48" xfId="0" applyFont="1" applyBorder="1" applyAlignment="1">
      <alignment horizontal="center" vertical="justify" wrapText="1"/>
    </xf>
    <xf numFmtId="0" fontId="4" fillId="0" borderId="50" xfId="0" applyFont="1" applyBorder="1" applyAlignment="1">
      <alignment horizontal="center" vertical="justify" wrapText="1"/>
    </xf>
    <xf numFmtId="0" fontId="4" fillId="0" borderId="82" xfId="0" applyFont="1" applyBorder="1" applyAlignment="1">
      <alignment horizontal="center" vertical="justify" wrapText="1"/>
    </xf>
    <xf numFmtId="0" fontId="4" fillId="0" borderId="61" xfId="0" applyFont="1" applyBorder="1" applyAlignment="1">
      <alignment horizontal="center" vertical="justify" wrapText="1"/>
    </xf>
    <xf numFmtId="0" fontId="4" fillId="0" borderId="62" xfId="0" applyFont="1" applyBorder="1" applyAlignment="1">
      <alignment horizontal="center" vertical="justify" wrapText="1"/>
    </xf>
    <xf numFmtId="1" fontId="4" fillId="0" borderId="73" xfId="0" applyNumberFormat="1" applyFont="1" applyBorder="1" applyAlignment="1">
      <alignment horizontal="center" vertical="justify" wrapText="1"/>
    </xf>
    <xf numFmtId="1" fontId="4" fillId="0" borderId="68" xfId="0" applyNumberFormat="1" applyFont="1" applyBorder="1" applyAlignment="1">
      <alignment horizontal="center" vertical="justify" wrapText="1"/>
    </xf>
    <xf numFmtId="1" fontId="2" fillId="0" borderId="38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left"/>
    </xf>
    <xf numFmtId="2" fontId="84" fillId="0" borderId="13" xfId="44" applyNumberFormat="1" applyFont="1" applyBorder="1" applyAlignment="1">
      <alignment horizontal="left"/>
    </xf>
    <xf numFmtId="2" fontId="84" fillId="0" borderId="21" xfId="44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2" fontId="97" fillId="0" borderId="11" xfId="0" applyNumberFormat="1" applyFont="1" applyBorder="1" applyAlignment="1">
      <alignment horizontal="left"/>
    </xf>
    <xf numFmtId="2" fontId="83" fillId="0" borderId="14" xfId="0" applyNumberFormat="1" applyFont="1" applyFill="1" applyBorder="1" applyAlignment="1">
      <alignment horizontal="left"/>
    </xf>
    <xf numFmtId="172" fontId="92" fillId="0" borderId="43" xfId="0" applyNumberFormat="1" applyFont="1" applyBorder="1" applyAlignment="1">
      <alignment horizontal="left"/>
    </xf>
    <xf numFmtId="172" fontId="92" fillId="0" borderId="44" xfId="0" applyNumberFormat="1" applyFont="1" applyBorder="1" applyAlignment="1">
      <alignment horizontal="left"/>
    </xf>
    <xf numFmtId="172" fontId="92" fillId="0" borderId="11" xfId="0" applyNumberFormat="1" applyFont="1" applyBorder="1" applyAlignment="1">
      <alignment horizontal="left"/>
    </xf>
    <xf numFmtId="172" fontId="92" fillId="0" borderId="10" xfId="0" applyNumberFormat="1" applyFont="1" applyBorder="1" applyAlignment="1">
      <alignment horizontal="left"/>
    </xf>
    <xf numFmtId="0" fontId="92" fillId="0" borderId="11" xfId="0" applyFont="1" applyBorder="1" applyAlignment="1">
      <alignment horizontal="left"/>
    </xf>
    <xf numFmtId="0" fontId="92" fillId="0" borderId="10" xfId="0" applyFont="1" applyBorder="1" applyAlignment="1">
      <alignment horizontal="left"/>
    </xf>
    <xf numFmtId="2" fontId="83" fillId="0" borderId="15" xfId="42" applyNumberFormat="1" applyFont="1" applyBorder="1" applyAlignment="1">
      <alignment horizontal="left"/>
    </xf>
    <xf numFmtId="2" fontId="83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172" fontId="6" fillId="0" borderId="11" xfId="0" applyNumberFormat="1" applyFont="1" applyBorder="1" applyAlignment="1">
      <alignment horizontal="left"/>
    </xf>
    <xf numFmtId="0" fontId="4" fillId="0" borderId="63" xfId="0" applyFont="1" applyBorder="1" applyAlignment="1">
      <alignment horizontal="left" vertical="justify" wrapText="1"/>
    </xf>
    <xf numFmtId="0" fontId="4" fillId="0" borderId="81" xfId="0" applyFont="1" applyBorder="1" applyAlignment="1">
      <alignment horizontal="left" vertical="justify" wrapText="1"/>
    </xf>
    <xf numFmtId="0" fontId="4" fillId="0" borderId="64" xfId="0" applyFont="1" applyBorder="1" applyAlignment="1">
      <alignment horizontal="left" vertical="justify" wrapText="1"/>
    </xf>
    <xf numFmtId="0" fontId="10" fillId="0" borderId="57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4" fillId="0" borderId="46" xfId="0" applyFont="1" applyBorder="1" applyAlignment="1">
      <alignment horizontal="left" vertical="justify" wrapText="1"/>
    </xf>
    <xf numFmtId="0" fontId="4" fillId="0" borderId="69" xfId="0" applyFont="1" applyBorder="1" applyAlignment="1">
      <alignment horizontal="left" vertical="justify" wrapText="1"/>
    </xf>
    <xf numFmtId="0" fontId="4" fillId="0" borderId="78" xfId="0" applyFont="1" applyBorder="1" applyAlignment="1">
      <alignment horizontal="left" vertical="justify" wrapText="1"/>
    </xf>
    <xf numFmtId="0" fontId="4" fillId="0" borderId="80" xfId="0" applyFont="1" applyBorder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0" fontId="4" fillId="0" borderId="24" xfId="0" applyFont="1" applyBorder="1" applyAlignment="1">
      <alignment horizontal="left" vertical="justify" wrapText="1"/>
    </xf>
    <xf numFmtId="0" fontId="4" fillId="0" borderId="85" xfId="0" applyFont="1" applyBorder="1" applyAlignment="1">
      <alignment horizontal="left" vertical="justify" wrapText="1"/>
    </xf>
    <xf numFmtId="0" fontId="10" fillId="0" borderId="38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72" fontId="6" fillId="0" borderId="12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72" fontId="11" fillId="0" borderId="11" xfId="0" applyNumberFormat="1" applyFont="1" applyBorder="1" applyAlignment="1">
      <alignment horizontal="left"/>
    </xf>
    <xf numFmtId="172" fontId="11" fillId="0" borderId="12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172" fontId="11" fillId="0" borderId="54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left"/>
    </xf>
    <xf numFmtId="3" fontId="11" fillId="0" borderId="21" xfId="0" applyNumberFormat="1" applyFont="1" applyBorder="1" applyAlignment="1">
      <alignment horizontal="left"/>
    </xf>
    <xf numFmtId="172" fontId="11" fillId="0" borderId="22" xfId="0" applyNumberFormat="1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172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left"/>
    </xf>
    <xf numFmtId="172" fontId="4" fillId="0" borderId="0" xfId="0" applyNumberFormat="1" applyFont="1" applyAlignment="1">
      <alignment horizontal="left"/>
    </xf>
    <xf numFmtId="0" fontId="107" fillId="0" borderId="80" xfId="0" applyFont="1" applyBorder="1" applyAlignment="1">
      <alignment horizontal="left"/>
    </xf>
    <xf numFmtId="0" fontId="107" fillId="0" borderId="67" xfId="0" applyFont="1" applyBorder="1" applyAlignment="1">
      <alignment horizontal="left"/>
    </xf>
    <xf numFmtId="0" fontId="119" fillId="0" borderId="0" xfId="0" applyFont="1" applyAlignment="1">
      <alignment/>
    </xf>
    <xf numFmtId="0" fontId="104" fillId="0" borderId="66" xfId="0" applyFont="1" applyBorder="1" applyAlignment="1">
      <alignment horizontal="left"/>
    </xf>
    <xf numFmtId="0" fontId="94" fillId="0" borderId="58" xfId="0" applyFont="1" applyBorder="1" applyAlignment="1">
      <alignment horizontal="left"/>
    </xf>
    <xf numFmtId="0" fontId="87" fillId="0" borderId="37" xfId="0" applyFont="1" applyBorder="1" applyAlignment="1">
      <alignment horizontal="left"/>
    </xf>
    <xf numFmtId="0" fontId="87" fillId="0" borderId="20" xfId="0" applyFont="1" applyBorder="1" applyAlignment="1">
      <alignment horizontal="left"/>
    </xf>
    <xf numFmtId="0" fontId="87" fillId="0" borderId="65" xfId="0" applyFont="1" applyBorder="1" applyAlignment="1">
      <alignment horizontal="left"/>
    </xf>
    <xf numFmtId="0" fontId="88" fillId="0" borderId="24" xfId="0" applyFont="1" applyBorder="1" applyAlignment="1">
      <alignment horizontal="left"/>
    </xf>
    <xf numFmtId="0" fontId="89" fillId="0" borderId="24" xfId="0" applyFont="1" applyBorder="1" applyAlignment="1">
      <alignment horizontal="left"/>
    </xf>
    <xf numFmtId="0" fontId="89" fillId="0" borderId="26" xfId="0" applyFont="1" applyBorder="1" applyAlignment="1">
      <alignment horizontal="left"/>
    </xf>
    <xf numFmtId="0" fontId="113" fillId="0" borderId="24" xfId="0" applyFont="1" applyBorder="1" applyAlignment="1">
      <alignment horizontal="left"/>
    </xf>
    <xf numFmtId="0" fontId="113" fillId="0" borderId="26" xfId="0" applyFont="1" applyBorder="1" applyAlignment="1">
      <alignment horizontal="left"/>
    </xf>
    <xf numFmtId="0" fontId="113" fillId="0" borderId="25" xfId="0" applyFont="1" applyBorder="1" applyAlignment="1">
      <alignment horizontal="left"/>
    </xf>
    <xf numFmtId="0" fontId="113" fillId="0" borderId="58" xfId="0" applyFont="1" applyBorder="1" applyAlignment="1">
      <alignment horizontal="left"/>
    </xf>
    <xf numFmtId="0" fontId="113" fillId="0" borderId="74" xfId="0" applyFont="1" applyBorder="1" applyAlignment="1">
      <alignment horizontal="left"/>
    </xf>
    <xf numFmtId="0" fontId="87" fillId="0" borderId="86" xfId="0" applyFont="1" applyBorder="1" applyAlignment="1">
      <alignment horizontal="left"/>
    </xf>
    <xf numFmtId="0" fontId="0" fillId="0" borderId="0" xfId="0" applyAlignment="1">
      <alignment horizontal="left"/>
    </xf>
    <xf numFmtId="0" fontId="113" fillId="0" borderId="40" xfId="0" applyFont="1" applyBorder="1" applyAlignment="1">
      <alignment horizontal="left"/>
    </xf>
    <xf numFmtId="0" fontId="113" fillId="0" borderId="0" xfId="0" applyFont="1" applyAlignment="1">
      <alignment horizontal="left"/>
    </xf>
    <xf numFmtId="1" fontId="83" fillId="0" borderId="22" xfId="0" applyNumberFormat="1" applyFont="1" applyBorder="1" applyAlignment="1">
      <alignment horizontal="left"/>
    </xf>
    <xf numFmtId="1" fontId="84" fillId="0" borderId="11" xfId="0" applyNumberFormat="1" applyFont="1" applyBorder="1" applyAlignment="1">
      <alignment horizontal="left"/>
    </xf>
    <xf numFmtId="0" fontId="4" fillId="0" borderId="77" xfId="0" applyFont="1" applyBorder="1" applyAlignment="1">
      <alignment horizontal="center" vertical="justify" wrapText="1"/>
    </xf>
    <xf numFmtId="2" fontId="84" fillId="0" borderId="50" xfId="0" applyNumberFormat="1" applyFont="1" applyBorder="1" applyAlignment="1">
      <alignment horizontal="left"/>
    </xf>
    <xf numFmtId="1" fontId="84" fillId="0" borderId="43" xfId="0" applyNumberFormat="1" applyFont="1" applyBorder="1" applyAlignment="1">
      <alignment horizontal="left"/>
    </xf>
    <xf numFmtId="1" fontId="84" fillId="0" borderId="53" xfId="0" applyNumberFormat="1" applyFont="1" applyBorder="1" applyAlignment="1">
      <alignment horizontal="left"/>
    </xf>
    <xf numFmtId="1" fontId="84" fillId="0" borderId="57" xfId="0" applyNumberFormat="1" applyFont="1" applyBorder="1" applyAlignment="1">
      <alignment horizontal="left"/>
    </xf>
    <xf numFmtId="1" fontId="84" fillId="0" borderId="47" xfId="0" applyNumberFormat="1" applyFont="1" applyBorder="1" applyAlignment="1">
      <alignment horizontal="left"/>
    </xf>
    <xf numFmtId="1" fontId="84" fillId="0" borderId="48" xfId="0" applyNumberFormat="1" applyFont="1" applyBorder="1" applyAlignment="1">
      <alignment horizontal="left"/>
    </xf>
    <xf numFmtId="1" fontId="84" fillId="0" borderId="51" xfId="0" applyNumberFormat="1" applyFont="1" applyBorder="1" applyAlignment="1">
      <alignment horizontal="left"/>
    </xf>
    <xf numFmtId="0" fontId="83" fillId="0" borderId="39" xfId="0" applyFont="1" applyBorder="1" applyAlignment="1">
      <alignment horizontal="center" vertical="center"/>
    </xf>
    <xf numFmtId="0" fontId="83" fillId="0" borderId="38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92" fillId="0" borderId="10" xfId="0" applyNumberFormat="1" applyFont="1" applyBorder="1" applyAlignment="1">
      <alignment horizontal="left"/>
    </xf>
    <xf numFmtId="2" fontId="83" fillId="0" borderId="26" xfId="42" applyNumberFormat="1" applyFont="1" applyBorder="1" applyAlignment="1">
      <alignment horizontal="left"/>
    </xf>
    <xf numFmtId="2" fontId="83" fillId="0" borderId="40" xfId="0" applyNumberFormat="1" applyFont="1" applyFill="1" applyBorder="1" applyAlignment="1">
      <alignment horizontal="left"/>
    </xf>
    <xf numFmtId="2" fontId="83" fillId="0" borderId="26" xfId="0" applyNumberFormat="1" applyFont="1" applyFill="1" applyBorder="1" applyAlignment="1">
      <alignment horizontal="left"/>
    </xf>
    <xf numFmtId="2" fontId="83" fillId="0" borderId="12" xfId="0" applyNumberFormat="1" applyFont="1" applyFill="1" applyBorder="1" applyAlignment="1">
      <alignment horizontal="left"/>
    </xf>
    <xf numFmtId="0" fontId="4" fillId="0" borderId="78" xfId="0" applyFont="1" applyBorder="1" applyAlignment="1">
      <alignment horizontal="center" vertical="justify" wrapText="1"/>
    </xf>
    <xf numFmtId="0" fontId="113" fillId="0" borderId="71" xfId="0" applyFont="1" applyBorder="1" applyAlignment="1">
      <alignment horizontal="center"/>
    </xf>
    <xf numFmtId="0" fontId="113" fillId="0" borderId="57" xfId="0" applyFont="1" applyBorder="1" applyAlignment="1">
      <alignment horizontal="center"/>
    </xf>
    <xf numFmtId="0" fontId="113" fillId="0" borderId="44" xfId="0" applyFont="1" applyBorder="1" applyAlignment="1">
      <alignment horizontal="center"/>
    </xf>
    <xf numFmtId="1" fontId="83" fillId="0" borderId="83" xfId="0" applyNumberFormat="1" applyFont="1" applyBorder="1" applyAlignment="1">
      <alignment horizontal="justify" vertical="justify" wrapText="1"/>
    </xf>
    <xf numFmtId="2" fontId="83" fillId="0" borderId="40" xfId="0" applyNumberFormat="1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2" fontId="83" fillId="0" borderId="25" xfId="0" applyNumberFormat="1" applyFont="1" applyBorder="1" applyAlignment="1">
      <alignment horizontal="left"/>
    </xf>
    <xf numFmtId="1" fontId="89" fillId="0" borderId="24" xfId="0" applyNumberFormat="1" applyFont="1" applyBorder="1" applyAlignment="1">
      <alignment horizontal="left" vertical="center"/>
    </xf>
    <xf numFmtId="1" fontId="111" fillId="0" borderId="73" xfId="0" applyNumberFormat="1" applyFont="1" applyBorder="1" applyAlignment="1">
      <alignment horizontal="left"/>
    </xf>
    <xf numFmtId="1" fontId="88" fillId="0" borderId="31" xfId="0" applyNumberFormat="1" applyFont="1" applyBorder="1" applyAlignment="1">
      <alignment horizontal="left"/>
    </xf>
    <xf numFmtId="1" fontId="111" fillId="0" borderId="76" xfId="0" applyNumberFormat="1" applyFont="1" applyBorder="1" applyAlignment="1">
      <alignment horizontal="left"/>
    </xf>
    <xf numFmtId="1" fontId="87" fillId="0" borderId="17" xfId="0" applyNumberFormat="1" applyFont="1" applyBorder="1" applyAlignment="1">
      <alignment horizontal="left"/>
    </xf>
    <xf numFmtId="1" fontId="111" fillId="0" borderId="69" xfId="0" applyNumberFormat="1" applyFont="1" applyBorder="1" applyAlignment="1">
      <alignment horizontal="left"/>
    </xf>
    <xf numFmtId="1" fontId="88" fillId="0" borderId="15" xfId="0" applyNumberFormat="1" applyFont="1" applyFill="1" applyBorder="1" applyAlignment="1">
      <alignment horizontal="left"/>
    </xf>
    <xf numFmtId="1" fontId="88" fillId="0" borderId="32" xfId="0" applyNumberFormat="1" applyFont="1" applyFill="1" applyBorder="1" applyAlignment="1">
      <alignment horizontal="left"/>
    </xf>
    <xf numFmtId="1" fontId="88" fillId="0" borderId="31" xfId="42" applyNumberFormat="1" applyFont="1" applyBorder="1" applyAlignment="1">
      <alignment horizontal="left"/>
    </xf>
    <xf numFmtId="1" fontId="120" fillId="0" borderId="39" xfId="0" applyNumberFormat="1" applyFont="1" applyBorder="1" applyAlignment="1">
      <alignment horizontal="left"/>
    </xf>
    <xf numFmtId="1" fontId="120" fillId="0" borderId="15" xfId="0" applyNumberFormat="1" applyFont="1" applyBorder="1" applyAlignment="1">
      <alignment horizontal="left"/>
    </xf>
    <xf numFmtId="1" fontId="120" fillId="0" borderId="32" xfId="0" applyNumberFormat="1" applyFont="1" applyBorder="1" applyAlignment="1">
      <alignment horizontal="left"/>
    </xf>
    <xf numFmtId="1" fontId="88" fillId="0" borderId="31" xfId="0" applyNumberFormat="1" applyFont="1" applyFill="1" applyBorder="1" applyAlignment="1">
      <alignment horizontal="left"/>
    </xf>
    <xf numFmtId="1" fontId="120" fillId="0" borderId="38" xfId="0" applyNumberFormat="1" applyFont="1" applyBorder="1" applyAlignment="1">
      <alignment horizontal="left"/>
    </xf>
    <xf numFmtId="1" fontId="120" fillId="0" borderId="11" xfId="0" applyNumberFormat="1" applyFont="1" applyBorder="1" applyAlignment="1">
      <alignment horizontal="left"/>
    </xf>
    <xf numFmtId="1" fontId="88" fillId="0" borderId="17" xfId="0" applyNumberFormat="1" applyFont="1" applyBorder="1" applyAlignment="1">
      <alignment horizontal="left"/>
    </xf>
    <xf numFmtId="1" fontId="120" fillId="0" borderId="31" xfId="0" applyNumberFormat="1" applyFont="1" applyBorder="1" applyAlignment="1">
      <alignment horizontal="left"/>
    </xf>
    <xf numFmtId="1" fontId="88" fillId="0" borderId="40" xfId="0" applyNumberFormat="1" applyFont="1" applyBorder="1" applyAlignment="1">
      <alignment horizontal="left"/>
    </xf>
    <xf numFmtId="1" fontId="88" fillId="0" borderId="41" xfId="0" applyNumberFormat="1" applyFont="1" applyBorder="1" applyAlignment="1">
      <alignment horizontal="left"/>
    </xf>
    <xf numFmtId="1" fontId="121" fillId="0" borderId="68" xfId="0" applyNumberFormat="1" applyFont="1" applyBorder="1" applyAlignment="1">
      <alignment horizontal="left"/>
    </xf>
    <xf numFmtId="1" fontId="88" fillId="0" borderId="30" xfId="0" applyNumberFormat="1" applyFont="1" applyBorder="1" applyAlignment="1">
      <alignment horizontal="left"/>
    </xf>
    <xf numFmtId="1" fontId="112" fillId="0" borderId="67" xfId="0" applyNumberFormat="1" applyFont="1" applyFill="1" applyBorder="1" applyAlignment="1">
      <alignment horizontal="left"/>
    </xf>
    <xf numFmtId="1" fontId="88" fillId="0" borderId="31" xfId="0" applyNumberFormat="1" applyFont="1" applyBorder="1" applyAlignment="1">
      <alignment horizontal="left" vertical="center"/>
    </xf>
    <xf numFmtId="0" fontId="4" fillId="0" borderId="69" xfId="0" applyFont="1" applyBorder="1" applyAlignment="1">
      <alignment horizontal="center" vertical="justify" wrapText="1"/>
    </xf>
    <xf numFmtId="0" fontId="113" fillId="0" borderId="71" xfId="0" applyFont="1" applyBorder="1" applyAlignment="1">
      <alignment horizontal="left"/>
    </xf>
    <xf numFmtId="0" fontId="113" fillId="0" borderId="72" xfId="0" applyFont="1" applyBorder="1" applyAlignment="1">
      <alignment horizontal="left"/>
    </xf>
    <xf numFmtId="1" fontId="83" fillId="0" borderId="24" xfId="0" applyNumberFormat="1" applyFont="1" applyBorder="1" applyAlignment="1">
      <alignment horizontal="left" vertical="center"/>
    </xf>
    <xf numFmtId="1" fontId="83" fillId="0" borderId="10" xfId="44" applyNumberFormat="1" applyFont="1" applyBorder="1" applyAlignment="1">
      <alignment horizontal="left"/>
    </xf>
    <xf numFmtId="1" fontId="83" fillId="0" borderId="11" xfId="42" applyNumberFormat="1" applyFont="1" applyBorder="1" applyAlignment="1">
      <alignment horizontal="left"/>
    </xf>
    <xf numFmtId="1" fontId="83" fillId="0" borderId="24" xfId="42" applyNumberFormat="1" applyFont="1" applyBorder="1" applyAlignment="1">
      <alignment horizontal="left"/>
    </xf>
    <xf numFmtId="0" fontId="89" fillId="0" borderId="11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2" fontId="88" fillId="0" borderId="11" xfId="0" applyNumberFormat="1" applyFont="1" applyBorder="1" applyAlignment="1">
      <alignment horizontal="right"/>
    </xf>
    <xf numFmtId="2" fontId="89" fillId="0" borderId="11" xfId="0" applyNumberFormat="1" applyFont="1" applyBorder="1" applyAlignment="1">
      <alignment horizontal="left" vertical="center"/>
    </xf>
    <xf numFmtId="2" fontId="89" fillId="0" borderId="11" xfId="0" applyNumberFormat="1" applyFont="1" applyBorder="1" applyAlignment="1">
      <alignment horizontal="right"/>
    </xf>
    <xf numFmtId="2" fontId="88" fillId="0" borderId="11" xfId="0" applyNumberFormat="1" applyFont="1" applyFill="1" applyBorder="1" applyAlignment="1">
      <alignment horizontal="right"/>
    </xf>
    <xf numFmtId="2" fontId="88" fillId="0" borderId="31" xfId="0" applyNumberFormat="1" applyFont="1" applyFill="1" applyBorder="1" applyAlignment="1">
      <alignment horizontal="right"/>
    </xf>
    <xf numFmtId="1" fontId="91" fillId="0" borderId="47" xfId="0" applyNumberFormat="1" applyFont="1" applyFill="1" applyBorder="1" applyAlignment="1">
      <alignment horizontal="center" vertical="center" wrapText="1"/>
    </xf>
    <xf numFmtId="1" fontId="91" fillId="0" borderId="50" xfId="0" applyNumberFormat="1" applyFont="1" applyFill="1" applyBorder="1" applyAlignment="1">
      <alignment horizontal="center" vertical="center" wrapText="1"/>
    </xf>
    <xf numFmtId="0" fontId="89" fillId="0" borderId="38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107" fillId="0" borderId="69" xfId="0" applyFont="1" applyBorder="1" applyAlignment="1">
      <alignment horizontal="left"/>
    </xf>
    <xf numFmtId="0" fontId="87" fillId="0" borderId="11" xfId="0" applyFont="1" applyBorder="1" applyAlignment="1">
      <alignment/>
    </xf>
    <xf numFmtId="0" fontId="94" fillId="0" borderId="11" xfId="0" applyFont="1" applyBorder="1" applyAlignment="1">
      <alignment horizontal="left"/>
    </xf>
    <xf numFmtId="0" fontId="113" fillId="0" borderId="11" xfId="0" applyFont="1" applyBorder="1" applyAlignment="1">
      <alignment horizontal="left"/>
    </xf>
    <xf numFmtId="0" fontId="113" fillId="0" borderId="11" xfId="0" applyFont="1" applyBorder="1" applyAlignment="1">
      <alignment/>
    </xf>
    <xf numFmtId="0" fontId="87" fillId="0" borderId="31" xfId="0" applyFont="1" applyBorder="1" applyAlignment="1">
      <alignment/>
    </xf>
    <xf numFmtId="1" fontId="91" fillId="0" borderId="47" xfId="0" applyNumberFormat="1" applyFont="1" applyFill="1" applyBorder="1" applyAlignment="1">
      <alignment horizontal="center" vertical="justify" wrapText="1"/>
    </xf>
    <xf numFmtId="0" fontId="87" fillId="0" borderId="38" xfId="0" applyFont="1" applyBorder="1" applyAlignment="1">
      <alignment/>
    </xf>
    <xf numFmtId="1" fontId="91" fillId="0" borderId="49" xfId="0" applyNumberFormat="1" applyFont="1" applyFill="1" applyBorder="1" applyAlignment="1">
      <alignment horizontal="center" vertical="justify" wrapText="1"/>
    </xf>
    <xf numFmtId="0" fontId="107" fillId="0" borderId="76" xfId="0" applyFont="1" applyBorder="1" applyAlignment="1">
      <alignment horizontal="left"/>
    </xf>
    <xf numFmtId="0" fontId="89" fillId="0" borderId="39" xfId="0" applyFont="1" applyBorder="1" applyAlignment="1">
      <alignment vertical="center"/>
    </xf>
    <xf numFmtId="2" fontId="88" fillId="0" borderId="15" xfId="0" applyNumberFormat="1" applyFont="1" applyBorder="1" applyAlignment="1">
      <alignment vertical="center"/>
    </xf>
    <xf numFmtId="2" fontId="89" fillId="0" borderId="15" xfId="0" applyNumberFormat="1" applyFont="1" applyBorder="1" applyAlignment="1">
      <alignment horizontal="left" vertical="center"/>
    </xf>
    <xf numFmtId="2" fontId="89" fillId="0" borderId="15" xfId="0" applyNumberFormat="1" applyFont="1" applyBorder="1" applyAlignment="1">
      <alignment vertical="center"/>
    </xf>
    <xf numFmtId="2" fontId="88" fillId="0" borderId="32" xfId="0" applyNumberFormat="1" applyFont="1" applyBorder="1" applyAlignment="1">
      <alignment vertical="center"/>
    </xf>
    <xf numFmtId="2" fontId="88" fillId="0" borderId="11" xfId="0" applyNumberFormat="1" applyFont="1" applyBorder="1" applyAlignment="1">
      <alignment vertical="center"/>
    </xf>
    <xf numFmtId="2" fontId="89" fillId="0" borderId="11" xfId="0" applyNumberFormat="1" applyFont="1" applyBorder="1" applyAlignment="1">
      <alignment vertical="center"/>
    </xf>
    <xf numFmtId="2" fontId="88" fillId="0" borderId="15" xfId="0" applyNumberFormat="1" applyFont="1" applyBorder="1" applyAlignment="1">
      <alignment horizontal="right"/>
    </xf>
    <xf numFmtId="2" fontId="89" fillId="0" borderId="15" xfId="0" applyNumberFormat="1" applyFont="1" applyBorder="1" applyAlignment="1">
      <alignment horizontal="right"/>
    </xf>
    <xf numFmtId="2" fontId="88" fillId="0" borderId="31" xfId="0" applyNumberFormat="1" applyFont="1" applyBorder="1" applyAlignment="1">
      <alignment vertical="center"/>
    </xf>
    <xf numFmtId="2" fontId="88" fillId="0" borderId="32" xfId="0" applyNumberFormat="1" applyFont="1" applyBorder="1" applyAlignment="1">
      <alignment horizontal="right"/>
    </xf>
    <xf numFmtId="2" fontId="88" fillId="0" borderId="31" xfId="0" applyNumberFormat="1" applyFont="1" applyBorder="1" applyAlignment="1">
      <alignment horizontal="right"/>
    </xf>
    <xf numFmtId="1" fontId="91" fillId="0" borderId="49" xfId="0" applyNumberFormat="1" applyFont="1" applyFill="1" applyBorder="1" applyAlignment="1">
      <alignment horizontal="center" vertical="center" wrapText="1"/>
    </xf>
    <xf numFmtId="0" fontId="89" fillId="0" borderId="38" xfId="0" applyFont="1" applyBorder="1" applyAlignment="1">
      <alignment vertical="center"/>
    </xf>
    <xf numFmtId="0" fontId="89" fillId="0" borderId="39" xfId="0" applyFont="1" applyBorder="1" applyAlignment="1">
      <alignment horizontal="center" vertical="center"/>
    </xf>
    <xf numFmtId="2" fontId="84" fillId="0" borderId="15" xfId="0" applyNumberFormat="1" applyFont="1" applyBorder="1" applyAlignment="1">
      <alignment horizontal="right"/>
    </xf>
    <xf numFmtId="2" fontId="83" fillId="0" borderId="15" xfId="0" applyNumberFormat="1" applyFont="1" applyBorder="1" applyAlignment="1">
      <alignment horizontal="right"/>
    </xf>
    <xf numFmtId="2" fontId="84" fillId="0" borderId="11" xfId="0" applyNumberFormat="1" applyFont="1" applyBorder="1" applyAlignment="1">
      <alignment horizontal="right"/>
    </xf>
    <xf numFmtId="2" fontId="83" fillId="0" borderId="11" xfId="0" applyNumberFormat="1" applyFont="1" applyBorder="1" applyAlignment="1">
      <alignment horizontal="right"/>
    </xf>
    <xf numFmtId="0" fontId="84" fillId="0" borderId="15" xfId="0" applyFont="1" applyBorder="1" applyAlignment="1">
      <alignment horizontal="left"/>
    </xf>
    <xf numFmtId="2" fontId="93" fillId="0" borderId="15" xfId="0" applyNumberFormat="1" applyFont="1" applyBorder="1" applyAlignment="1">
      <alignment horizontal="left"/>
    </xf>
    <xf numFmtId="2" fontId="91" fillId="0" borderId="15" xfId="0" applyNumberFormat="1" applyFont="1" applyBorder="1" applyAlignment="1">
      <alignment horizontal="left"/>
    </xf>
    <xf numFmtId="0" fontId="84" fillId="0" borderId="11" xfId="0" applyFont="1" applyBorder="1" applyAlignment="1">
      <alignment horizontal="left"/>
    </xf>
    <xf numFmtId="2" fontId="91" fillId="0" borderId="11" xfId="0" applyNumberFormat="1" applyFont="1" applyBorder="1" applyAlignment="1">
      <alignment horizontal="left"/>
    </xf>
    <xf numFmtId="2" fontId="88" fillId="0" borderId="15" xfId="44" applyNumberFormat="1" applyFont="1" applyBorder="1" applyAlignment="1">
      <alignment horizontal="right"/>
    </xf>
    <xf numFmtId="2" fontId="89" fillId="0" borderId="15" xfId="44" applyNumberFormat="1" applyFont="1" applyBorder="1" applyAlignment="1">
      <alignment horizontal="right"/>
    </xf>
    <xf numFmtId="2" fontId="88" fillId="0" borderId="15" xfId="42" applyNumberFormat="1" applyFont="1" applyBorder="1" applyAlignment="1">
      <alignment horizontal="right"/>
    </xf>
    <xf numFmtId="2" fontId="89" fillId="0" borderId="15" xfId="42" applyNumberFormat="1" applyFont="1" applyBorder="1" applyAlignment="1">
      <alignment horizontal="right"/>
    </xf>
    <xf numFmtId="2" fontId="88" fillId="0" borderId="11" xfId="44" applyNumberFormat="1" applyFont="1" applyBorder="1" applyAlignment="1">
      <alignment horizontal="right"/>
    </xf>
    <xf numFmtId="2" fontId="89" fillId="0" borderId="11" xfId="44" applyNumberFormat="1" applyFont="1" applyBorder="1" applyAlignment="1">
      <alignment horizontal="right"/>
    </xf>
    <xf numFmtId="2" fontId="88" fillId="0" borderId="11" xfId="42" applyNumberFormat="1" applyFont="1" applyBorder="1" applyAlignment="1">
      <alignment horizontal="right"/>
    </xf>
    <xf numFmtId="2" fontId="89" fillId="0" borderId="11" xfId="42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88" fillId="0" borderId="15" xfId="0" applyNumberFormat="1" applyFont="1" applyBorder="1" applyAlignment="1">
      <alignment horizontal="right" wrapText="1"/>
    </xf>
    <xf numFmtId="2" fontId="89" fillId="0" borderId="15" xfId="0" applyNumberFormat="1" applyFont="1" applyBorder="1" applyAlignment="1">
      <alignment horizontal="right" wrapText="1"/>
    </xf>
    <xf numFmtId="2" fontId="88" fillId="0" borderId="11" xfId="0" applyNumberFormat="1" applyFont="1" applyBorder="1" applyAlignment="1">
      <alignment horizontal="right" wrapText="1"/>
    </xf>
    <xf numFmtId="2" fontId="89" fillId="0" borderId="11" xfId="0" applyNumberFormat="1" applyFont="1" applyBorder="1" applyAlignment="1">
      <alignment horizontal="right" wrapText="1"/>
    </xf>
    <xf numFmtId="3" fontId="90" fillId="0" borderId="15" xfId="0" applyNumberFormat="1" applyFont="1" applyBorder="1" applyAlignment="1">
      <alignment horizontal="right"/>
    </xf>
    <xf numFmtId="0" fontId="87" fillId="0" borderId="15" xfId="0" applyFont="1" applyBorder="1" applyAlignment="1">
      <alignment/>
    </xf>
    <xf numFmtId="3" fontId="94" fillId="0" borderId="15" xfId="0" applyNumberFormat="1" applyFont="1" applyBorder="1" applyAlignment="1">
      <alignment horizontal="right"/>
    </xf>
    <xf numFmtId="172" fontId="90" fillId="0" borderId="15" xfId="0" applyNumberFormat="1" applyFont="1" applyBorder="1" applyAlignment="1">
      <alignment horizontal="right"/>
    </xf>
    <xf numFmtId="3" fontId="90" fillId="0" borderId="11" xfId="0" applyNumberFormat="1" applyFont="1" applyBorder="1" applyAlignment="1">
      <alignment horizontal="right"/>
    </xf>
    <xf numFmtId="3" fontId="94" fillId="0" borderId="11" xfId="0" applyNumberFormat="1" applyFont="1" applyBorder="1" applyAlignment="1">
      <alignment horizontal="right"/>
    </xf>
    <xf numFmtId="172" fontId="90" fillId="0" borderId="11" xfId="0" applyNumberFormat="1" applyFont="1" applyBorder="1" applyAlignment="1">
      <alignment horizontal="right"/>
    </xf>
    <xf numFmtId="2" fontId="88" fillId="0" borderId="15" xfId="0" applyNumberFormat="1" applyFont="1" applyFill="1" applyBorder="1" applyAlignment="1">
      <alignment horizontal="right"/>
    </xf>
    <xf numFmtId="2" fontId="89" fillId="0" borderId="15" xfId="0" applyNumberFormat="1" applyFont="1" applyFill="1" applyBorder="1" applyAlignment="1">
      <alignment horizontal="right"/>
    </xf>
    <xf numFmtId="2" fontId="89" fillId="0" borderId="11" xfId="0" applyNumberFormat="1" applyFont="1" applyFill="1" applyBorder="1" applyAlignment="1">
      <alignment horizontal="right"/>
    </xf>
    <xf numFmtId="2" fontId="89" fillId="0" borderId="15" xfId="42" applyNumberFormat="1" applyFont="1" applyBorder="1" applyAlignment="1">
      <alignment horizontal="left"/>
    </xf>
    <xf numFmtId="2" fontId="84" fillId="0" borderId="32" xfId="0" applyNumberFormat="1" applyFont="1" applyBorder="1" applyAlignment="1">
      <alignment horizontal="right"/>
    </xf>
    <xf numFmtId="2" fontId="84" fillId="0" borderId="31" xfId="0" applyNumberFormat="1" applyFont="1" applyBorder="1" applyAlignment="1">
      <alignment horizontal="right"/>
    </xf>
    <xf numFmtId="2" fontId="93" fillId="0" borderId="32" xfId="0" applyNumberFormat="1" applyFont="1" applyBorder="1" applyAlignment="1">
      <alignment horizontal="left"/>
    </xf>
    <xf numFmtId="2" fontId="93" fillId="0" borderId="31" xfId="0" applyNumberFormat="1" applyFont="1" applyBorder="1" applyAlignment="1">
      <alignment horizontal="left"/>
    </xf>
    <xf numFmtId="2" fontId="88" fillId="0" borderId="32" xfId="42" applyNumberFormat="1" applyFont="1" applyBorder="1" applyAlignment="1">
      <alignment horizontal="right"/>
    </xf>
    <xf numFmtId="2" fontId="88" fillId="0" borderId="31" xfId="42" applyNumberFormat="1" applyFont="1" applyBorder="1" applyAlignment="1">
      <alignment horizontal="right"/>
    </xf>
    <xf numFmtId="2" fontId="88" fillId="0" borderId="32" xfId="0" applyNumberFormat="1" applyFont="1" applyBorder="1" applyAlignment="1">
      <alignment horizontal="right" wrapText="1"/>
    </xf>
    <xf numFmtId="2" fontId="88" fillId="0" borderId="31" xfId="0" applyNumberFormat="1" applyFont="1" applyBorder="1" applyAlignment="1">
      <alignment horizontal="right" wrapText="1"/>
    </xf>
    <xf numFmtId="3" fontId="90" fillId="0" borderId="32" xfId="0" applyNumberFormat="1" applyFont="1" applyBorder="1" applyAlignment="1">
      <alignment horizontal="right"/>
    </xf>
    <xf numFmtId="3" fontId="90" fillId="0" borderId="31" xfId="0" applyNumberFormat="1" applyFont="1" applyBorder="1" applyAlignment="1">
      <alignment horizontal="right"/>
    </xf>
    <xf numFmtId="2" fontId="88" fillId="0" borderId="32" xfId="0" applyNumberFormat="1" applyFont="1" applyFill="1" applyBorder="1" applyAlignment="1">
      <alignment horizontal="right"/>
    </xf>
    <xf numFmtId="2" fontId="89" fillId="0" borderId="31" xfId="0" applyNumberFormat="1" applyFont="1" applyBorder="1" applyAlignment="1">
      <alignment horizontal="right"/>
    </xf>
    <xf numFmtId="0" fontId="89" fillId="0" borderId="31" xfId="0" applyFont="1" applyBorder="1" applyAlignment="1">
      <alignment horizontal="center" vertical="center"/>
    </xf>
    <xf numFmtId="0" fontId="89" fillId="0" borderId="28" xfId="0" applyFont="1" applyBorder="1" applyAlignment="1">
      <alignment horizontal="center" vertical="center"/>
    </xf>
    <xf numFmtId="0" fontId="93" fillId="0" borderId="39" xfId="0" applyFont="1" applyBorder="1" applyAlignment="1">
      <alignment horizontal="left"/>
    </xf>
    <xf numFmtId="0" fontId="93" fillId="0" borderId="15" xfId="0" applyFont="1" applyBorder="1" applyAlignment="1">
      <alignment horizontal="left"/>
    </xf>
    <xf numFmtId="0" fontId="93" fillId="0" borderId="32" xfId="0" applyFont="1" applyBorder="1" applyAlignment="1">
      <alignment horizontal="left"/>
    </xf>
    <xf numFmtId="0" fontId="93" fillId="0" borderId="11" xfId="0" applyFont="1" applyBorder="1" applyAlignment="1">
      <alignment horizontal="left"/>
    </xf>
    <xf numFmtId="0" fontId="93" fillId="0" borderId="10" xfId="0" applyFont="1" applyBorder="1" applyAlignment="1">
      <alignment/>
    </xf>
    <xf numFmtId="0" fontId="93" fillId="0" borderId="38" xfId="0" applyFont="1" applyBorder="1" applyAlignment="1">
      <alignment horizontal="left"/>
    </xf>
    <xf numFmtId="0" fontId="93" fillId="0" borderId="18" xfId="0" applyFont="1" applyBorder="1" applyAlignment="1">
      <alignment/>
    </xf>
    <xf numFmtId="0" fontId="104" fillId="0" borderId="82" xfId="0" applyFont="1" applyBorder="1" applyAlignment="1">
      <alignment horizontal="left"/>
    </xf>
    <xf numFmtId="0" fontId="122" fillId="0" borderId="40" xfId="0" applyFont="1" applyBorder="1" applyAlignment="1">
      <alignment horizontal="left"/>
    </xf>
    <xf numFmtId="0" fontId="114" fillId="0" borderId="40" xfId="0" applyFont="1" applyBorder="1" applyAlignment="1">
      <alignment horizontal="left"/>
    </xf>
    <xf numFmtId="0" fontId="122" fillId="0" borderId="11" xfId="0" applyFont="1" applyBorder="1" applyAlignment="1">
      <alignment horizontal="left"/>
    </xf>
    <xf numFmtId="0" fontId="114" fillId="0" borderId="11" xfId="0" applyFont="1" applyBorder="1" applyAlignment="1">
      <alignment horizontal="left"/>
    </xf>
    <xf numFmtId="3" fontId="90" fillId="0" borderId="15" xfId="0" applyNumberFormat="1" applyFont="1" applyBorder="1" applyAlignment="1">
      <alignment horizontal="left"/>
    </xf>
    <xf numFmtId="0" fontId="90" fillId="0" borderId="31" xfId="0" applyFont="1" applyBorder="1" applyAlignment="1">
      <alignment horizontal="left"/>
    </xf>
    <xf numFmtId="0" fontId="93" fillId="0" borderId="31" xfId="0" applyFont="1" applyBorder="1" applyAlignment="1">
      <alignment horizontal="left"/>
    </xf>
    <xf numFmtId="3" fontId="90" fillId="0" borderId="32" xfId="0" applyNumberFormat="1" applyFont="1" applyBorder="1" applyAlignment="1">
      <alignment horizontal="left"/>
    </xf>
    <xf numFmtId="3" fontId="90" fillId="0" borderId="31" xfId="0" applyNumberFormat="1" applyFont="1" applyBorder="1" applyAlignment="1">
      <alignment horizontal="left"/>
    </xf>
    <xf numFmtId="0" fontId="93" fillId="0" borderId="28" xfId="0" applyFont="1" applyBorder="1" applyAlignment="1">
      <alignment/>
    </xf>
    <xf numFmtId="0" fontId="94" fillId="0" borderId="38" xfId="0" applyFont="1" applyBorder="1" applyAlignment="1">
      <alignment horizontal="left"/>
    </xf>
    <xf numFmtId="0" fontId="91" fillId="0" borderId="10" xfId="0" applyFont="1" applyBorder="1" applyAlignment="1">
      <alignment horizontal="left"/>
    </xf>
    <xf numFmtId="0" fontId="91" fillId="0" borderId="15" xfId="0" applyFont="1" applyBorder="1" applyAlignment="1">
      <alignment horizontal="left"/>
    </xf>
    <xf numFmtId="3" fontId="93" fillId="0" borderId="10" xfId="0" applyNumberFormat="1" applyFont="1" applyBorder="1" applyAlignment="1">
      <alignment horizontal="left"/>
    </xf>
    <xf numFmtId="3" fontId="93" fillId="0" borderId="14" xfId="0" applyNumberFormat="1" applyFont="1" applyBorder="1" applyAlignment="1">
      <alignment horizontal="left"/>
    </xf>
    <xf numFmtId="0" fontId="91" fillId="0" borderId="11" xfId="0" applyFont="1" applyBorder="1" applyAlignment="1">
      <alignment horizontal="left"/>
    </xf>
    <xf numFmtId="3" fontId="94" fillId="0" borderId="14" xfId="0" applyNumberFormat="1" applyFont="1" applyBorder="1" applyAlignment="1">
      <alignment horizontal="left"/>
    </xf>
    <xf numFmtId="0" fontId="91" fillId="0" borderId="14" xfId="0" applyFont="1" applyBorder="1" applyAlignment="1">
      <alignment horizontal="left"/>
    </xf>
    <xf numFmtId="3" fontId="94" fillId="0" borderId="10" xfId="0" applyNumberFormat="1" applyFont="1" applyBorder="1" applyAlignment="1">
      <alignment horizontal="left"/>
    </xf>
    <xf numFmtId="0" fontId="123" fillId="0" borderId="14" xfId="0" applyFont="1" applyBorder="1" applyAlignment="1">
      <alignment horizontal="left"/>
    </xf>
    <xf numFmtId="0" fontId="123" fillId="0" borderId="10" xfId="0" applyFont="1" applyBorder="1" applyAlignment="1">
      <alignment horizontal="left"/>
    </xf>
    <xf numFmtId="0" fontId="90" fillId="0" borderId="14" xfId="0" applyFont="1" applyBorder="1" applyAlignment="1">
      <alignment horizontal="left"/>
    </xf>
    <xf numFmtId="172" fontId="90" fillId="0" borderId="14" xfId="0" applyNumberFormat="1" applyFont="1" applyBorder="1" applyAlignment="1">
      <alignment horizontal="left"/>
    </xf>
    <xf numFmtId="0" fontId="124" fillId="0" borderId="14" xfId="0" applyFont="1" applyBorder="1" applyAlignment="1">
      <alignment horizontal="left"/>
    </xf>
    <xf numFmtId="0" fontId="124" fillId="0" borderId="10" xfId="0" applyFont="1" applyBorder="1" applyAlignment="1">
      <alignment horizontal="left"/>
    </xf>
    <xf numFmtId="0" fontId="91" fillId="0" borderId="41" xfId="0" applyFont="1" applyBorder="1" applyAlignment="1">
      <alignment horizontal="left"/>
    </xf>
    <xf numFmtId="0" fontId="91" fillId="0" borderId="31" xfId="0" applyFont="1" applyBorder="1" applyAlignment="1">
      <alignment horizontal="left"/>
    </xf>
    <xf numFmtId="3" fontId="90" fillId="0" borderId="28" xfId="0" applyNumberFormat="1" applyFont="1" applyBorder="1" applyAlignment="1">
      <alignment horizontal="left"/>
    </xf>
    <xf numFmtId="3" fontId="90" fillId="0" borderId="30" xfId="0" applyNumberFormat="1" applyFont="1" applyBorder="1" applyAlignment="1">
      <alignment horizontal="left"/>
    </xf>
    <xf numFmtId="3" fontId="93" fillId="0" borderId="28" xfId="0" applyNumberFormat="1" applyFont="1" applyBorder="1" applyAlignment="1">
      <alignment horizontal="left"/>
    </xf>
    <xf numFmtId="3" fontId="93" fillId="0" borderId="30" xfId="0" applyNumberFormat="1" applyFont="1" applyBorder="1" applyAlignment="1">
      <alignment horizontal="left"/>
    </xf>
    <xf numFmtId="0" fontId="94" fillId="0" borderId="82" xfId="0" applyFont="1" applyBorder="1" applyAlignment="1">
      <alignment horizontal="left"/>
    </xf>
    <xf numFmtId="3" fontId="90" fillId="0" borderId="18" xfId="0" applyNumberFormat="1" applyFont="1" applyBorder="1" applyAlignment="1">
      <alignment horizontal="left"/>
    </xf>
    <xf numFmtId="3" fontId="90" fillId="0" borderId="19" xfId="0" applyNumberFormat="1" applyFont="1" applyBorder="1" applyAlignment="1">
      <alignment horizontal="left"/>
    </xf>
    <xf numFmtId="3" fontId="93" fillId="0" borderId="18" xfId="0" applyNumberFormat="1" applyFont="1" applyBorder="1" applyAlignment="1">
      <alignment horizontal="left"/>
    </xf>
    <xf numFmtId="3" fontId="93" fillId="0" borderId="19" xfId="0" applyNumberFormat="1" applyFont="1" applyBorder="1" applyAlignment="1">
      <alignment horizontal="left"/>
    </xf>
    <xf numFmtId="0" fontId="87" fillId="0" borderId="54" xfId="0" applyFont="1" applyBorder="1" applyAlignment="1">
      <alignment/>
    </xf>
    <xf numFmtId="0" fontId="87" fillId="0" borderId="21" xfId="0" applyFont="1" applyBorder="1" applyAlignment="1">
      <alignment/>
    </xf>
    <xf numFmtId="0" fontId="87" fillId="0" borderId="55" xfId="0" applyFont="1" applyBorder="1" applyAlignment="1">
      <alignment/>
    </xf>
    <xf numFmtId="0" fontId="87" fillId="0" borderId="39" xfId="0" applyFont="1" applyBorder="1" applyAlignment="1">
      <alignment/>
    </xf>
    <xf numFmtId="0" fontId="87" fillId="0" borderId="18" xfId="0" applyFont="1" applyBorder="1" applyAlignment="1">
      <alignment/>
    </xf>
    <xf numFmtId="1" fontId="107" fillId="0" borderId="69" xfId="0" applyNumberFormat="1" applyFont="1" applyBorder="1" applyAlignment="1">
      <alignment horizontal="center" vertical="justify" wrapText="1"/>
    </xf>
    <xf numFmtId="1" fontId="107" fillId="0" borderId="76" xfId="0" applyNumberFormat="1" applyFont="1" applyBorder="1" applyAlignment="1">
      <alignment horizontal="center" vertical="justify" wrapText="1"/>
    </xf>
    <xf numFmtId="1" fontId="107" fillId="0" borderId="80" xfId="0" applyNumberFormat="1" applyFont="1" applyBorder="1" applyAlignment="1">
      <alignment horizontal="center" vertical="justify" wrapText="1"/>
    </xf>
    <xf numFmtId="0" fontId="87" fillId="0" borderId="19" xfId="0" applyFont="1" applyBorder="1" applyAlignment="1">
      <alignment/>
    </xf>
    <xf numFmtId="0" fontId="87" fillId="0" borderId="22" xfId="0" applyFont="1" applyBorder="1" applyAlignment="1">
      <alignment/>
    </xf>
    <xf numFmtId="0" fontId="97" fillId="0" borderId="10" xfId="0" applyFont="1" applyBorder="1" applyAlignment="1">
      <alignment horizontal="left"/>
    </xf>
    <xf numFmtId="0" fontId="97" fillId="0" borderId="11" xfId="0" applyFont="1" applyBorder="1" applyAlignment="1">
      <alignment horizontal="left"/>
    </xf>
    <xf numFmtId="1" fontId="107" fillId="0" borderId="67" xfId="0" applyNumberFormat="1" applyFont="1" applyBorder="1" applyAlignment="1">
      <alignment horizontal="center" vertical="justify" wrapText="1"/>
    </xf>
    <xf numFmtId="0" fontId="92" fillId="0" borderId="19" xfId="0" applyFont="1" applyBorder="1" applyAlignment="1">
      <alignment horizontal="left"/>
    </xf>
    <xf numFmtId="0" fontId="92" fillId="0" borderId="14" xfId="0" applyFont="1" applyBorder="1" applyAlignment="1">
      <alignment horizontal="left"/>
    </xf>
    <xf numFmtId="172" fontId="85" fillId="0" borderId="14" xfId="0" applyNumberFormat="1" applyFont="1" applyBorder="1" applyAlignment="1">
      <alignment horizontal="left"/>
    </xf>
    <xf numFmtId="0" fontId="85" fillId="0" borderId="22" xfId="0" applyFont="1" applyBorder="1" applyAlignment="1">
      <alignment horizontal="left"/>
    </xf>
    <xf numFmtId="172" fontId="85" fillId="0" borderId="24" xfId="0" applyNumberFormat="1" applyFont="1" applyBorder="1" applyAlignment="1">
      <alignment horizontal="left"/>
    </xf>
    <xf numFmtId="0" fontId="85" fillId="0" borderId="58" xfId="0" applyFont="1" applyBorder="1" applyAlignment="1">
      <alignment horizontal="left"/>
    </xf>
    <xf numFmtId="0" fontId="105" fillId="0" borderId="70" xfId="0" applyFont="1" applyBorder="1" applyAlignment="1">
      <alignment horizontal="left" vertical="justify" wrapText="1"/>
    </xf>
    <xf numFmtId="0" fontId="105" fillId="0" borderId="68" xfId="0" applyFont="1" applyBorder="1" applyAlignment="1">
      <alignment horizontal="left" vertical="justify" wrapText="1"/>
    </xf>
    <xf numFmtId="0" fontId="89" fillId="0" borderId="25" xfId="0" applyFont="1" applyBorder="1" applyAlignment="1">
      <alignment horizontal="left"/>
    </xf>
    <xf numFmtId="0" fontId="113" fillId="0" borderId="86" xfId="0" applyFont="1" applyBorder="1" applyAlignment="1">
      <alignment horizontal="left"/>
    </xf>
    <xf numFmtId="0" fontId="99" fillId="0" borderId="69" xfId="0" applyFont="1" applyBorder="1" applyAlignment="1">
      <alignment horizontal="left"/>
    </xf>
    <xf numFmtId="0" fontId="99" fillId="0" borderId="80" xfId="0" applyFont="1" applyBorder="1" applyAlignment="1">
      <alignment horizontal="left"/>
    </xf>
    <xf numFmtId="0" fontId="99" fillId="0" borderId="78" xfId="0" applyFont="1" applyBorder="1" applyAlignment="1">
      <alignment horizontal="left"/>
    </xf>
    <xf numFmtId="0" fontId="99" fillId="0" borderId="76" xfId="0" applyFont="1" applyBorder="1" applyAlignment="1">
      <alignment horizontal="left"/>
    </xf>
    <xf numFmtId="0" fontId="100" fillId="0" borderId="73" xfId="0" applyFont="1" applyBorder="1" applyAlignment="1">
      <alignment horizontal="left"/>
    </xf>
    <xf numFmtId="1" fontId="84" fillId="0" borderId="38" xfId="0" applyNumberFormat="1" applyFont="1" applyBorder="1" applyAlignment="1">
      <alignment horizontal="left" vertical="center"/>
    </xf>
    <xf numFmtId="1" fontId="84" fillId="0" borderId="11" xfId="0" applyNumberFormat="1" applyFont="1" applyBorder="1" applyAlignment="1">
      <alignment horizontal="left" vertical="center"/>
    </xf>
    <xf numFmtId="1" fontId="84" fillId="0" borderId="31" xfId="0" applyNumberFormat="1" applyFont="1" applyBorder="1" applyAlignment="1">
      <alignment horizontal="left" vertical="center"/>
    </xf>
    <xf numFmtId="1" fontId="2" fillId="0" borderId="85" xfId="0" applyNumberFormat="1" applyFont="1" applyBorder="1" applyAlignment="1">
      <alignment horizontal="left" vertical="center"/>
    </xf>
    <xf numFmtId="2" fontId="83" fillId="0" borderId="12" xfId="0" applyNumberFormat="1" applyFont="1" applyFill="1" applyBorder="1" applyAlignment="1">
      <alignment horizontal="left" vertical="top" shrinkToFit="1"/>
    </xf>
    <xf numFmtId="2" fontId="83" fillId="0" borderId="10" xfId="0" applyNumberFormat="1" applyFont="1" applyFill="1" applyBorder="1" applyAlignment="1">
      <alignment horizontal="left" vertical="top" shrinkToFit="1"/>
    </xf>
    <xf numFmtId="2" fontId="83" fillId="0" borderId="13" xfId="0" applyNumberFormat="1" applyFont="1" applyFill="1" applyBorder="1" applyAlignment="1">
      <alignment horizontal="left" vertical="top" shrinkToFit="1"/>
    </xf>
    <xf numFmtId="2" fontId="83" fillId="0" borderId="21" xfId="0" applyNumberFormat="1" applyFont="1" applyFill="1" applyBorder="1" applyAlignment="1">
      <alignment horizontal="left" vertical="top" shrinkToFit="1"/>
    </xf>
    <xf numFmtId="0" fontId="105" fillId="0" borderId="68" xfId="0" applyFont="1" applyBorder="1" applyAlignment="1">
      <alignment horizontal="left"/>
    </xf>
    <xf numFmtId="0" fontId="91" fillId="0" borderId="56" xfId="0" applyFont="1" applyBorder="1" applyAlignment="1">
      <alignment horizontal="left" vertical="center"/>
    </xf>
    <xf numFmtId="0" fontId="107" fillId="0" borderId="82" xfId="0" applyFont="1" applyBorder="1" applyAlignment="1">
      <alignment horizontal="left"/>
    </xf>
    <xf numFmtId="0" fontId="107" fillId="0" borderId="62" xfId="0" applyFont="1" applyBorder="1" applyAlignment="1">
      <alignment horizontal="left"/>
    </xf>
    <xf numFmtId="1" fontId="107" fillId="0" borderId="34" xfId="0" applyNumberFormat="1" applyFont="1" applyBorder="1" applyAlignment="1">
      <alignment horizontal="left" vertical="center"/>
    </xf>
    <xf numFmtId="1" fontId="107" fillId="0" borderId="87" xfId="0" applyNumberFormat="1" applyFont="1" applyBorder="1" applyAlignment="1">
      <alignment horizontal="left" vertical="center"/>
    </xf>
    <xf numFmtId="1" fontId="93" fillId="0" borderId="54" xfId="0" applyNumberFormat="1" applyFont="1" applyBorder="1" applyAlignment="1">
      <alignment horizontal="left"/>
    </xf>
    <xf numFmtId="3" fontId="94" fillId="0" borderId="15" xfId="0" applyNumberFormat="1" applyFont="1" applyBorder="1" applyAlignment="1">
      <alignment horizontal="left"/>
    </xf>
    <xf numFmtId="3" fontId="94" fillId="0" borderId="11" xfId="0" applyNumberFormat="1" applyFont="1" applyBorder="1" applyAlignment="1">
      <alignment horizontal="left"/>
    </xf>
    <xf numFmtId="0" fontId="91" fillId="0" borderId="10" xfId="0" applyFont="1" applyBorder="1" applyAlignment="1">
      <alignment/>
    </xf>
    <xf numFmtId="0" fontId="91" fillId="0" borderId="14" xfId="0" applyFont="1" applyBorder="1" applyAlignment="1">
      <alignment/>
    </xf>
    <xf numFmtId="0" fontId="91" fillId="0" borderId="0" xfId="0" applyFont="1" applyAlignment="1">
      <alignment/>
    </xf>
    <xf numFmtId="0" fontId="87" fillId="0" borderId="11" xfId="0" applyFont="1" applyBorder="1" applyAlignment="1">
      <alignment horizontal="left"/>
    </xf>
    <xf numFmtId="0" fontId="87" fillId="0" borderId="10" xfId="0" applyFont="1" applyBorder="1" applyAlignment="1">
      <alignment horizontal="left"/>
    </xf>
    <xf numFmtId="0" fontId="113" fillId="0" borderId="10" xfId="0" applyFont="1" applyBorder="1" applyAlignment="1">
      <alignment horizontal="left"/>
    </xf>
    <xf numFmtId="0" fontId="87" fillId="0" borderId="21" xfId="0" applyFont="1" applyBorder="1" applyAlignment="1">
      <alignment horizontal="left"/>
    </xf>
    <xf numFmtId="0" fontId="105" fillId="0" borderId="69" xfId="0" applyFont="1" applyBorder="1" applyAlignment="1">
      <alignment horizontal="left" vertical="justify" wrapText="1"/>
    </xf>
    <xf numFmtId="0" fontId="105" fillId="0" borderId="80" xfId="0" applyFont="1" applyBorder="1" applyAlignment="1">
      <alignment horizontal="left" vertical="justify" wrapText="1"/>
    </xf>
    <xf numFmtId="0" fontId="107" fillId="0" borderId="80" xfId="0" applyFont="1" applyBorder="1" applyAlignment="1">
      <alignment horizontal="justify" vertical="justify" wrapText="1"/>
    </xf>
    <xf numFmtId="0" fontId="107" fillId="0" borderId="69" xfId="0" applyFont="1" applyBorder="1" applyAlignment="1">
      <alignment horizontal="justify" vertical="justify" wrapText="1"/>
    </xf>
    <xf numFmtId="0" fontId="114" fillId="0" borderId="15" xfId="0" applyFont="1" applyBorder="1" applyAlignment="1">
      <alignment horizontal="left"/>
    </xf>
    <xf numFmtId="3" fontId="114" fillId="0" borderId="15" xfId="0" applyNumberFormat="1" applyFont="1" applyBorder="1" applyAlignment="1">
      <alignment horizontal="left"/>
    </xf>
    <xf numFmtId="3" fontId="114" fillId="0" borderId="11" xfId="0" applyNumberFormat="1" applyFont="1" applyBorder="1" applyAlignment="1">
      <alignment horizontal="left"/>
    </xf>
    <xf numFmtId="0" fontId="114" fillId="0" borderId="10" xfId="0" applyFont="1" applyBorder="1" applyAlignment="1">
      <alignment horizontal="left"/>
    </xf>
    <xf numFmtId="0" fontId="114" fillId="0" borderId="14" xfId="0" applyFont="1" applyBorder="1" applyAlignment="1">
      <alignment horizontal="left"/>
    </xf>
    <xf numFmtId="0" fontId="114" fillId="0" borderId="10" xfId="0" applyFont="1" applyBorder="1" applyAlignment="1">
      <alignment/>
    </xf>
    <xf numFmtId="0" fontId="114" fillId="0" borderId="14" xfId="0" applyFont="1" applyBorder="1" applyAlignment="1">
      <alignment/>
    </xf>
    <xf numFmtId="0" fontId="114" fillId="0" borderId="0" xfId="0" applyFont="1" applyAlignment="1">
      <alignment/>
    </xf>
    <xf numFmtId="1" fontId="107" fillId="0" borderId="80" xfId="0" applyNumberFormat="1" applyFont="1" applyBorder="1" applyAlignment="1">
      <alignment horizontal="justify" vertical="justify" wrapText="1"/>
    </xf>
    <xf numFmtId="1" fontId="93" fillId="0" borderId="18" xfId="0" applyNumberFormat="1" applyFont="1" applyBorder="1" applyAlignment="1">
      <alignment/>
    </xf>
    <xf numFmtId="1" fontId="93" fillId="0" borderId="10" xfId="0" applyNumberFormat="1" applyFont="1" applyBorder="1" applyAlignment="1">
      <alignment/>
    </xf>
    <xf numFmtId="0" fontId="107" fillId="0" borderId="73" xfId="0" applyFont="1" applyBorder="1" applyAlignment="1">
      <alignment horizontal="justify" vertical="justify" wrapText="1"/>
    </xf>
    <xf numFmtId="0" fontId="107" fillId="0" borderId="67" xfId="0" applyFont="1" applyBorder="1" applyAlignment="1">
      <alignment horizontal="justify" vertical="justify" wrapText="1"/>
    </xf>
    <xf numFmtId="0" fontId="107" fillId="0" borderId="76" xfId="0" applyFont="1" applyBorder="1" applyAlignment="1">
      <alignment horizontal="justify" vertical="justify" wrapText="1"/>
    </xf>
    <xf numFmtId="0" fontId="107" fillId="0" borderId="0" xfId="0" applyFont="1" applyAlignment="1">
      <alignment horizontal="justify" vertical="justify" wrapText="1"/>
    </xf>
    <xf numFmtId="3" fontId="4" fillId="0" borderId="80" xfId="0" applyNumberFormat="1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3" fontId="4" fillId="0" borderId="67" xfId="0" applyNumberFormat="1" applyFont="1" applyBorder="1" applyAlignment="1">
      <alignment horizontal="left"/>
    </xf>
    <xf numFmtId="0" fontId="11" fillId="0" borderId="80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3" fontId="11" fillId="0" borderId="19" xfId="0" applyNumberFormat="1" applyFont="1" applyBorder="1" applyAlignment="1">
      <alignment horizontal="left"/>
    </xf>
    <xf numFmtId="3" fontId="11" fillId="0" borderId="18" xfId="0" applyNumberFormat="1" applyFont="1" applyBorder="1" applyAlignment="1">
      <alignment horizontal="left"/>
    </xf>
    <xf numFmtId="3" fontId="11" fillId="0" borderId="67" xfId="0" applyNumberFormat="1" applyFont="1" applyBorder="1" applyAlignment="1">
      <alignment horizontal="left"/>
    </xf>
    <xf numFmtId="0" fontId="11" fillId="0" borderId="76" xfId="0" applyFont="1" applyBorder="1" applyAlignment="1">
      <alignment horizontal="left"/>
    </xf>
    <xf numFmtId="0" fontId="11" fillId="0" borderId="69" xfId="0" applyFont="1" applyBorder="1" applyAlignment="1">
      <alignment horizontal="left"/>
    </xf>
    <xf numFmtId="3" fontId="11" fillId="0" borderId="80" xfId="0" applyNumberFormat="1" applyFont="1" applyBorder="1" applyAlignment="1">
      <alignment horizontal="left"/>
    </xf>
    <xf numFmtId="1" fontId="92" fillId="0" borderId="17" xfId="0" applyNumberFormat="1" applyFont="1" applyBorder="1" applyAlignment="1">
      <alignment horizontal="left"/>
    </xf>
    <xf numFmtId="1" fontId="84" fillId="0" borderId="65" xfId="0" applyNumberFormat="1" applyFont="1" applyBorder="1" applyAlignment="1">
      <alignment horizontal="left" vertical="center"/>
    </xf>
    <xf numFmtId="1" fontId="84" fillId="0" borderId="25" xfId="0" applyNumberFormat="1" applyFont="1" applyBorder="1" applyAlignment="1">
      <alignment horizontal="left"/>
    </xf>
    <xf numFmtId="1" fontId="84" fillId="0" borderId="75" xfId="0" applyNumberFormat="1" applyFont="1" applyBorder="1" applyAlignment="1">
      <alignment horizontal="left" vertical="center"/>
    </xf>
    <xf numFmtId="0" fontId="105" fillId="0" borderId="82" xfId="0" applyFont="1" applyFill="1" applyBorder="1" applyAlignment="1">
      <alignment horizontal="left" vertical="justify" wrapText="1"/>
    </xf>
    <xf numFmtId="2" fontId="105" fillId="0" borderId="77" xfId="0" applyNumberFormat="1" applyFont="1" applyBorder="1" applyAlignment="1">
      <alignment horizontal="left"/>
    </xf>
    <xf numFmtId="1" fontId="85" fillId="0" borderId="46" xfId="0" applyNumberFormat="1" applyFont="1" applyBorder="1" applyAlignment="1">
      <alignment horizontal="left"/>
    </xf>
    <xf numFmtId="1" fontId="84" fillId="0" borderId="17" xfId="0" applyNumberFormat="1" applyFont="1" applyBorder="1" applyAlignment="1">
      <alignment horizontal="left" wrapText="1"/>
    </xf>
    <xf numFmtId="3" fontId="0" fillId="0" borderId="0" xfId="0" applyNumberFormat="1" applyAlignment="1">
      <alignment/>
    </xf>
    <xf numFmtId="2" fontId="88" fillId="0" borderId="10" xfId="42" applyNumberFormat="1" applyFont="1" applyBorder="1" applyAlignment="1">
      <alignment horizontal="right"/>
    </xf>
    <xf numFmtId="2" fontId="89" fillId="0" borderId="10" xfId="0" applyNumberFormat="1" applyFont="1" applyBorder="1" applyAlignment="1">
      <alignment horizontal="left" vertical="center"/>
    </xf>
    <xf numFmtId="2" fontId="89" fillId="0" borderId="10" xfId="42" applyNumberFormat="1" applyFont="1" applyBorder="1" applyAlignment="1">
      <alignment horizontal="right"/>
    </xf>
    <xf numFmtId="2" fontId="88" fillId="0" borderId="10" xfId="0" applyNumberFormat="1" applyFont="1" applyBorder="1" applyAlignment="1">
      <alignment horizontal="right"/>
    </xf>
    <xf numFmtId="2" fontId="88" fillId="0" borderId="28" xfId="42" applyNumberFormat="1" applyFont="1" applyBorder="1" applyAlignment="1">
      <alignment horizontal="right"/>
    </xf>
    <xf numFmtId="2" fontId="84" fillId="0" borderId="28" xfId="0" applyNumberFormat="1" applyFont="1" applyBorder="1" applyAlignment="1">
      <alignment horizontal="left" vertical="center"/>
    </xf>
    <xf numFmtId="2" fontId="84" fillId="0" borderId="30" xfId="0" applyNumberFormat="1" applyFont="1" applyBorder="1" applyAlignment="1">
      <alignment horizontal="left"/>
    </xf>
    <xf numFmtId="1" fontId="84" fillId="0" borderId="30" xfId="0" applyNumberFormat="1" applyFont="1" applyBorder="1" applyAlignment="1">
      <alignment horizontal="left"/>
    </xf>
    <xf numFmtId="2" fontId="84" fillId="0" borderId="28" xfId="44" applyNumberFormat="1" applyFont="1" applyBorder="1" applyAlignment="1">
      <alignment horizontal="left"/>
    </xf>
    <xf numFmtId="2" fontId="84" fillId="0" borderId="30" xfId="0" applyNumberFormat="1" applyFont="1" applyBorder="1" applyAlignment="1">
      <alignment horizontal="left" wrapText="1"/>
    </xf>
    <xf numFmtId="2" fontId="84" fillId="0" borderId="28" xfId="42" applyNumberFormat="1" applyFont="1" applyBorder="1" applyAlignment="1">
      <alignment horizontal="left"/>
    </xf>
    <xf numFmtId="1" fontId="2" fillId="0" borderId="37" xfId="0" applyNumberFormat="1" applyFont="1" applyBorder="1" applyAlignment="1">
      <alignment horizontal="left" vertical="center"/>
    </xf>
    <xf numFmtId="1" fontId="2" fillId="0" borderId="23" xfId="0" applyNumberFormat="1" applyFont="1" applyBorder="1" applyAlignment="1">
      <alignment horizontal="left" vertical="center"/>
    </xf>
    <xf numFmtId="2" fontId="84" fillId="0" borderId="32" xfId="42" applyNumberFormat="1" applyFont="1" applyBorder="1" applyAlignment="1">
      <alignment horizontal="left"/>
    </xf>
    <xf numFmtId="2" fontId="84" fillId="0" borderId="32" xfId="0" applyNumberFormat="1" applyFont="1" applyFill="1" applyBorder="1" applyAlignment="1">
      <alignment horizontal="left"/>
    </xf>
    <xf numFmtId="0" fontId="4" fillId="0" borderId="76" xfId="0" applyFont="1" applyBorder="1" applyAlignment="1">
      <alignment horizontal="center" vertical="justify" wrapText="1"/>
    </xf>
    <xf numFmtId="2" fontId="85" fillId="0" borderId="32" xfId="0" applyNumberFormat="1" applyFont="1" applyBorder="1" applyAlignment="1">
      <alignment horizontal="left"/>
    </xf>
    <xf numFmtId="1" fontId="84" fillId="0" borderId="31" xfId="0" applyNumberFormat="1" applyFont="1" applyBorder="1" applyAlignment="1">
      <alignment horizontal="left"/>
    </xf>
    <xf numFmtId="1" fontId="84" fillId="0" borderId="29" xfId="0" applyNumberFormat="1" applyFont="1" applyBorder="1" applyAlignment="1">
      <alignment horizontal="left" vertical="center"/>
    </xf>
    <xf numFmtId="1" fontId="84" fillId="0" borderId="30" xfId="0" applyNumberFormat="1" applyFont="1" applyBorder="1" applyAlignment="1">
      <alignment horizontal="left" vertical="center"/>
    </xf>
    <xf numFmtId="0" fontId="118" fillId="0" borderId="66" xfId="0" applyFont="1" applyBorder="1" applyAlignment="1">
      <alignment horizontal="left"/>
    </xf>
    <xf numFmtId="1" fontId="118" fillId="0" borderId="67" xfId="0" applyNumberFormat="1" applyFont="1" applyBorder="1" applyAlignment="1">
      <alignment horizontal="left" vertical="center"/>
    </xf>
    <xf numFmtId="2" fontId="118" fillId="0" borderId="68" xfId="0" applyNumberFormat="1" applyFont="1" applyBorder="1" applyAlignment="1">
      <alignment horizontal="left" vertical="center"/>
    </xf>
    <xf numFmtId="1" fontId="118" fillId="0" borderId="69" xfId="0" applyNumberFormat="1" applyFont="1" applyBorder="1" applyAlignment="1">
      <alignment horizontal="left" vertical="center"/>
    </xf>
    <xf numFmtId="2" fontId="118" fillId="0" borderId="70" xfId="0" applyNumberFormat="1" applyFont="1" applyBorder="1" applyAlignment="1">
      <alignment horizontal="left" vertical="center"/>
    </xf>
    <xf numFmtId="2" fontId="118" fillId="0" borderId="67" xfId="0" applyNumberFormat="1" applyFont="1" applyBorder="1" applyAlignment="1">
      <alignment horizontal="left" vertical="center"/>
    </xf>
    <xf numFmtId="1" fontId="118" fillId="0" borderId="66" xfId="0" applyNumberFormat="1" applyFont="1" applyBorder="1" applyAlignment="1">
      <alignment horizontal="left" vertical="center"/>
    </xf>
    <xf numFmtId="0" fontId="118" fillId="0" borderId="0" xfId="0" applyFont="1" applyAlignment="1">
      <alignment horizontal="left"/>
    </xf>
    <xf numFmtId="1" fontId="84" fillId="0" borderId="30" xfId="44" applyNumberFormat="1" applyFont="1" applyBorder="1" applyAlignment="1">
      <alignment horizontal="left"/>
    </xf>
    <xf numFmtId="1" fontId="84" fillId="0" borderId="29" xfId="44" applyNumberFormat="1" applyFont="1" applyBorder="1" applyAlignment="1">
      <alignment horizontal="left"/>
    </xf>
    <xf numFmtId="1" fontId="85" fillId="0" borderId="31" xfId="0" applyNumberFormat="1" applyFont="1" applyBorder="1" applyAlignment="1">
      <alignment horizontal="left"/>
    </xf>
    <xf numFmtId="1" fontId="85" fillId="0" borderId="29" xfId="0" applyNumberFormat="1" applyFont="1" applyBorder="1" applyAlignment="1">
      <alignment horizontal="left"/>
    </xf>
    <xf numFmtId="1" fontId="84" fillId="0" borderId="31" xfId="0" applyNumberFormat="1" applyFont="1" applyFill="1" applyBorder="1" applyAlignment="1">
      <alignment horizontal="left"/>
    </xf>
    <xf numFmtId="1" fontId="84" fillId="0" borderId="31" xfId="42" applyNumberFormat="1" applyFont="1" applyBorder="1" applyAlignment="1">
      <alignment horizontal="left"/>
    </xf>
    <xf numFmtId="0" fontId="84" fillId="0" borderId="28" xfId="0" applyFont="1" applyBorder="1" applyAlignment="1">
      <alignment horizontal="left" vertical="center"/>
    </xf>
    <xf numFmtId="1" fontId="84" fillId="0" borderId="81" xfId="0" applyNumberFormat="1" applyFont="1" applyBorder="1" applyAlignment="1">
      <alignment horizontal="left" vertical="center"/>
    </xf>
    <xf numFmtId="0" fontId="84" fillId="0" borderId="64" xfId="0" applyFont="1" applyBorder="1" applyAlignment="1">
      <alignment horizontal="left" vertical="center"/>
    </xf>
    <xf numFmtId="0" fontId="84" fillId="0" borderId="32" xfId="0" applyFont="1" applyBorder="1" applyAlignment="1">
      <alignment horizontal="left" vertical="center"/>
    </xf>
    <xf numFmtId="1" fontId="5" fillId="0" borderId="57" xfId="0" applyNumberFormat="1" applyFont="1" applyBorder="1" applyAlignment="1">
      <alignment horizontal="left" vertical="center"/>
    </xf>
    <xf numFmtId="1" fontId="5" fillId="0" borderId="53" xfId="0" applyNumberFormat="1" applyFont="1" applyBorder="1" applyAlignment="1">
      <alignment horizontal="left" vertical="center"/>
    </xf>
    <xf numFmtId="2" fontId="5" fillId="0" borderId="56" xfId="0" applyNumberFormat="1" applyFont="1" applyBorder="1" applyAlignment="1">
      <alignment horizontal="left" vertical="center"/>
    </xf>
    <xf numFmtId="1" fontId="5" fillId="0" borderId="43" xfId="0" applyNumberFormat="1" applyFont="1" applyBorder="1" applyAlignment="1">
      <alignment horizontal="left" vertical="center"/>
    </xf>
    <xf numFmtId="2" fontId="5" fillId="0" borderId="44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" fontId="5" fillId="0" borderId="38" xfId="0" applyNumberFormat="1" applyFont="1" applyBorder="1" applyAlignment="1">
      <alignment horizontal="left" vertical="center"/>
    </xf>
    <xf numFmtId="1" fontId="5" fillId="0" borderId="19" xfId="0" applyNumberFormat="1" applyFont="1" applyBorder="1" applyAlignment="1">
      <alignment horizontal="left" vertical="center"/>
    </xf>
    <xf numFmtId="1" fontId="5" fillId="0" borderId="16" xfId="0" applyNumberFormat="1" applyFont="1" applyBorder="1" applyAlignment="1">
      <alignment horizontal="left" vertical="center"/>
    </xf>
    <xf numFmtId="2" fontId="5" fillId="0" borderId="39" xfId="0" applyNumberFormat="1" applyFont="1" applyBorder="1" applyAlignment="1">
      <alignment horizontal="left" vertical="center"/>
    </xf>
    <xf numFmtId="2" fontId="5" fillId="0" borderId="18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left"/>
    </xf>
    <xf numFmtId="1" fontId="11" fillId="0" borderId="16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1" fontId="11" fillId="0" borderId="17" xfId="0" applyNumberFormat="1" applyFont="1" applyBorder="1" applyAlignment="1">
      <alignment horizontal="right"/>
    </xf>
    <xf numFmtId="1" fontId="11" fillId="0" borderId="17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" fontId="11" fillId="0" borderId="43" xfId="0" applyNumberFormat="1" applyFont="1" applyBorder="1" applyAlignment="1">
      <alignment horizontal="left"/>
    </xf>
    <xf numFmtId="1" fontId="11" fillId="0" borderId="53" xfId="0" applyNumberFormat="1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1" fontId="11" fillId="0" borderId="43" xfId="0" applyNumberFormat="1" applyFont="1" applyFill="1" applyBorder="1" applyAlignment="1">
      <alignment horizontal="right"/>
    </xf>
    <xf numFmtId="1" fontId="11" fillId="0" borderId="53" xfId="0" applyNumberFormat="1" applyFont="1" applyFill="1" applyBorder="1" applyAlignment="1">
      <alignment horizontal="right"/>
    </xf>
    <xf numFmtId="0" fontId="11" fillId="0" borderId="56" xfId="0" applyFont="1" applyFill="1" applyBorder="1" applyAlignment="1">
      <alignment horizontal="right"/>
    </xf>
    <xf numFmtId="1" fontId="11" fillId="0" borderId="17" xfId="0" applyNumberFormat="1" applyFont="1" applyBorder="1" applyAlignment="1">
      <alignment horizontal="center" vertical="justify" wrapText="1"/>
    </xf>
    <xf numFmtId="1" fontId="11" fillId="0" borderId="0" xfId="0" applyNumberFormat="1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07" fillId="0" borderId="78" xfId="0" applyFont="1" applyBorder="1" applyAlignment="1">
      <alignment horizontal="left"/>
    </xf>
    <xf numFmtId="2" fontId="84" fillId="0" borderId="38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2" fontId="2" fillId="0" borderId="21" xfId="0" applyNumberFormat="1" applyFont="1" applyBorder="1" applyAlignment="1">
      <alignment horizontal="left"/>
    </xf>
    <xf numFmtId="9" fontId="83" fillId="0" borderId="10" xfId="0" applyNumberFormat="1" applyFont="1" applyBorder="1" applyAlignment="1">
      <alignment horizontal="left" vertical="center"/>
    </xf>
    <xf numFmtId="0" fontId="83" fillId="0" borderId="45" xfId="0" applyFont="1" applyBorder="1" applyAlignment="1">
      <alignment horizontal="left" vertical="center"/>
    </xf>
    <xf numFmtId="3" fontId="91" fillId="0" borderId="14" xfId="0" applyNumberFormat="1" applyFont="1" applyBorder="1" applyAlignment="1">
      <alignment horizontal="left"/>
    </xf>
    <xf numFmtId="1" fontId="5" fillId="0" borderId="65" xfId="0" applyNumberFormat="1" applyFont="1" applyBorder="1" applyAlignment="1">
      <alignment horizontal="left" vertical="center"/>
    </xf>
    <xf numFmtId="1" fontId="84" fillId="0" borderId="75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10" fontId="83" fillId="0" borderId="18" xfId="0" applyNumberFormat="1" applyFont="1" applyBorder="1" applyAlignment="1">
      <alignment horizontal="left" vertical="center"/>
    </xf>
    <xf numFmtId="2" fontId="83" fillId="0" borderId="54" xfId="0" applyNumberFormat="1" applyFont="1" applyBorder="1" applyAlignment="1">
      <alignment horizontal="left"/>
    </xf>
    <xf numFmtId="0" fontId="87" fillId="0" borderId="87" xfId="0" applyFont="1" applyBorder="1" applyAlignment="1">
      <alignment vertical="center" wrapText="1"/>
    </xf>
    <xf numFmtId="0" fontId="87" fillId="0" borderId="66" xfId="0" applyFont="1" applyBorder="1" applyAlignment="1">
      <alignment horizontal="center" vertical="center" wrapText="1"/>
    </xf>
    <xf numFmtId="0" fontId="87" fillId="0" borderId="70" xfId="0" applyFont="1" applyBorder="1" applyAlignment="1">
      <alignment horizontal="center" vertical="center" wrapText="1"/>
    </xf>
    <xf numFmtId="0" fontId="87" fillId="0" borderId="68" xfId="0" applyFont="1" applyBorder="1" applyAlignment="1">
      <alignment horizontal="center" vertical="center" wrapText="1"/>
    </xf>
    <xf numFmtId="0" fontId="87" fillId="0" borderId="66" xfId="0" applyFont="1" applyBorder="1" applyAlignment="1">
      <alignment vertical="center" wrapText="1"/>
    </xf>
    <xf numFmtId="0" fontId="87" fillId="0" borderId="23" xfId="0" applyFont="1" applyBorder="1" applyAlignment="1">
      <alignment vertical="center" wrapText="1"/>
    </xf>
    <xf numFmtId="2" fontId="87" fillId="0" borderId="70" xfId="0" applyNumberFormat="1" applyFont="1" applyBorder="1" applyAlignment="1">
      <alignment horizontal="center" wrapText="1"/>
    </xf>
    <xf numFmtId="2" fontId="87" fillId="0" borderId="68" xfId="0" applyNumberFormat="1" applyFont="1" applyBorder="1" applyAlignment="1">
      <alignment horizontal="center" wrapText="1"/>
    </xf>
    <xf numFmtId="2" fontId="87" fillId="0" borderId="69" xfId="0" applyNumberFormat="1" applyFont="1" applyBorder="1" applyAlignment="1">
      <alignment/>
    </xf>
    <xf numFmtId="2" fontId="87" fillId="0" borderId="78" xfId="0" applyNumberFormat="1" applyFont="1" applyBorder="1" applyAlignment="1">
      <alignment/>
    </xf>
    <xf numFmtId="2" fontId="87" fillId="0" borderId="80" xfId="0" applyNumberFormat="1" applyFont="1" applyBorder="1" applyAlignment="1">
      <alignment/>
    </xf>
    <xf numFmtId="2" fontId="87" fillId="0" borderId="27" xfId="0" applyNumberFormat="1" applyFont="1" applyBorder="1" applyAlignment="1">
      <alignment wrapText="1"/>
    </xf>
    <xf numFmtId="2" fontId="87" fillId="0" borderId="27" xfId="0" applyNumberFormat="1" applyFont="1" applyBorder="1" applyAlignment="1">
      <alignment horizontal="center" wrapText="1"/>
    </xf>
    <xf numFmtId="2" fontId="87" fillId="0" borderId="0" xfId="0" applyNumberFormat="1" applyFont="1" applyBorder="1" applyAlignment="1">
      <alignment horizontal="center" wrapText="1"/>
    </xf>
    <xf numFmtId="2" fontId="87" fillId="0" borderId="85" xfId="0" applyNumberFormat="1" applyFont="1" applyBorder="1" applyAlignment="1">
      <alignment/>
    </xf>
    <xf numFmtId="2" fontId="87" fillId="0" borderId="81" xfId="0" applyNumberFormat="1" applyFont="1" applyBorder="1" applyAlignment="1">
      <alignment/>
    </xf>
    <xf numFmtId="2" fontId="87" fillId="0" borderId="64" xfId="0" applyNumberFormat="1" applyFont="1" applyBorder="1" applyAlignment="1">
      <alignment/>
    </xf>
    <xf numFmtId="2" fontId="125" fillId="0" borderId="70" xfId="0" applyNumberFormat="1" applyFont="1" applyBorder="1" applyAlignment="1">
      <alignment horizontal="center" wrapText="1"/>
    </xf>
    <xf numFmtId="2" fontId="125" fillId="0" borderId="68" xfId="0" applyNumberFormat="1" applyFont="1" applyBorder="1" applyAlignment="1">
      <alignment horizontal="center" wrapText="1"/>
    </xf>
    <xf numFmtId="2" fontId="87" fillId="0" borderId="35" xfId="0" applyNumberFormat="1" applyFont="1" applyBorder="1" applyAlignment="1">
      <alignment horizontal="center" wrapText="1"/>
    </xf>
    <xf numFmtId="2" fontId="87" fillId="0" borderId="34" xfId="0" applyNumberFormat="1" applyFont="1" applyBorder="1" applyAlignment="1">
      <alignment horizontal="center" wrapText="1"/>
    </xf>
    <xf numFmtId="2" fontId="87" fillId="0" borderId="88" xfId="0" applyNumberFormat="1" applyFont="1" applyBorder="1" applyAlignment="1">
      <alignment/>
    </xf>
    <xf numFmtId="2" fontId="87" fillId="0" borderId="79" xfId="0" applyNumberFormat="1" applyFont="1" applyBorder="1" applyAlignment="1">
      <alignment/>
    </xf>
    <xf numFmtId="2" fontId="87" fillId="0" borderId="45" xfId="0" applyNumberFormat="1" applyFont="1" applyBorder="1" applyAlignment="1">
      <alignment/>
    </xf>
    <xf numFmtId="1" fontId="84" fillId="0" borderId="23" xfId="0" applyNumberFormat="1" applyFont="1" applyBorder="1" applyAlignment="1">
      <alignment horizontal="left"/>
    </xf>
    <xf numFmtId="1" fontId="84" fillId="0" borderId="66" xfId="0" applyNumberFormat="1" applyFont="1" applyBorder="1" applyAlignment="1">
      <alignment horizontal="left"/>
    </xf>
    <xf numFmtId="1" fontId="84" fillId="0" borderId="23" xfId="42" applyNumberFormat="1" applyFont="1" applyBorder="1" applyAlignment="1">
      <alignment horizontal="left"/>
    </xf>
    <xf numFmtId="1" fontId="84" fillId="0" borderId="66" xfId="42" applyNumberFormat="1" applyFont="1" applyBorder="1" applyAlignment="1">
      <alignment horizontal="left"/>
    </xf>
    <xf numFmtId="0" fontId="87" fillId="0" borderId="58" xfId="0" applyFont="1" applyBorder="1" applyAlignment="1">
      <alignment/>
    </xf>
    <xf numFmtId="0" fontId="87" fillId="0" borderId="43" xfId="0" applyFont="1" applyBorder="1" applyAlignment="1">
      <alignment/>
    </xf>
    <xf numFmtId="0" fontId="87" fillId="0" borderId="44" xfId="0" applyFont="1" applyBorder="1" applyAlignment="1">
      <alignment/>
    </xf>
    <xf numFmtId="1" fontId="85" fillId="0" borderId="40" xfId="0" applyNumberFormat="1" applyFont="1" applyFill="1" applyBorder="1" applyAlignment="1">
      <alignment horizontal="left" vertical="center" wrapText="1"/>
    </xf>
    <xf numFmtId="1" fontId="85" fillId="0" borderId="40" xfId="0" applyNumberFormat="1" applyFont="1" applyFill="1" applyBorder="1" applyAlignment="1">
      <alignment horizontal="left" vertical="top" wrapText="1"/>
    </xf>
    <xf numFmtId="1" fontId="106" fillId="0" borderId="40" xfId="0" applyNumberFormat="1" applyFont="1" applyFill="1" applyBorder="1" applyAlignment="1">
      <alignment horizontal="left" vertical="top" wrapText="1"/>
    </xf>
    <xf numFmtId="1" fontId="92" fillId="0" borderId="40" xfId="0" applyNumberFormat="1" applyFont="1" applyFill="1" applyBorder="1" applyAlignment="1">
      <alignment horizontal="left" vertical="top" wrapText="1"/>
    </xf>
    <xf numFmtId="1" fontId="2" fillId="0" borderId="40" xfId="0" applyNumberFormat="1" applyFont="1" applyFill="1" applyBorder="1" applyAlignment="1">
      <alignment horizontal="left" vertical="top" wrapText="1"/>
    </xf>
    <xf numFmtId="1" fontId="5" fillId="0" borderId="40" xfId="0" applyNumberFormat="1" applyFont="1" applyFill="1" applyBorder="1" applyAlignment="1">
      <alignment horizontal="left" vertical="top" wrapText="1"/>
    </xf>
    <xf numFmtId="1" fontId="85" fillId="0" borderId="41" xfId="0" applyNumberFormat="1" applyFont="1" applyFill="1" applyBorder="1" applyAlignment="1">
      <alignment horizontal="left" vertical="top" wrapText="1"/>
    </xf>
    <xf numFmtId="1" fontId="105" fillId="0" borderId="41" xfId="0" applyNumberFormat="1" applyFont="1" applyFill="1" applyBorder="1" applyAlignment="1">
      <alignment horizontal="left" vertical="top" wrapText="1"/>
    </xf>
    <xf numFmtId="1" fontId="2" fillId="0" borderId="14" xfId="0" applyNumberFormat="1" applyFont="1" applyBorder="1" applyAlignment="1">
      <alignment horizontal="left"/>
    </xf>
    <xf numFmtId="1" fontId="2" fillId="0" borderId="30" xfId="0" applyNumberFormat="1" applyFont="1" applyBorder="1" applyAlignment="1">
      <alignment horizontal="left"/>
    </xf>
    <xf numFmtId="0" fontId="105" fillId="0" borderId="82" xfId="0" applyFont="1" applyBorder="1" applyAlignment="1">
      <alignment horizontal="left"/>
    </xf>
    <xf numFmtId="0" fontId="105" fillId="0" borderId="62" xfId="0" applyFont="1" applyBorder="1" applyAlignment="1">
      <alignment horizontal="left"/>
    </xf>
    <xf numFmtId="1" fontId="83" fillId="0" borderId="43" xfId="0" applyNumberFormat="1" applyFont="1" applyBorder="1" applyAlignment="1">
      <alignment horizontal="left" vertical="center"/>
    </xf>
    <xf numFmtId="1" fontId="83" fillId="0" borderId="44" xfId="0" applyNumberFormat="1" applyFont="1" applyBorder="1" applyAlignment="1">
      <alignment horizontal="left" vertical="center"/>
    </xf>
    <xf numFmtId="1" fontId="106" fillId="0" borderId="11" xfId="0" applyNumberFormat="1" applyFont="1" applyBorder="1" applyAlignment="1">
      <alignment horizontal="left" vertical="center"/>
    </xf>
    <xf numFmtId="2" fontId="85" fillId="0" borderId="83" xfId="0" applyNumberFormat="1" applyFont="1" applyFill="1" applyBorder="1" applyAlignment="1">
      <alignment horizontal="left" vertical="center" wrapText="1"/>
    </xf>
    <xf numFmtId="1" fontId="5" fillId="0" borderId="59" xfId="0" applyNumberFormat="1" applyFont="1" applyFill="1" applyBorder="1" applyAlignment="1">
      <alignment horizontal="left" vertical="top" wrapText="1"/>
    </xf>
    <xf numFmtId="1" fontId="105" fillId="0" borderId="31" xfId="0" applyNumberFormat="1" applyFont="1" applyFill="1" applyBorder="1" applyAlignment="1">
      <alignment horizontal="left" vertical="center"/>
    </xf>
    <xf numFmtId="2" fontId="84" fillId="0" borderId="11" xfId="0" applyNumberFormat="1" applyFont="1" applyBorder="1" applyAlignment="1">
      <alignment horizontal="left" vertical="center"/>
    </xf>
    <xf numFmtId="2" fontId="84" fillId="0" borderId="10" xfId="0" applyNumberFormat="1" applyFont="1" applyBorder="1" applyAlignment="1">
      <alignment horizontal="left" vertical="center"/>
    </xf>
    <xf numFmtId="2" fontId="83" fillId="0" borderId="54" xfId="0" applyNumberFormat="1" applyFont="1" applyBorder="1" applyAlignment="1">
      <alignment horizontal="left" vertical="center"/>
    </xf>
    <xf numFmtId="2" fontId="83" fillId="0" borderId="21" xfId="0" applyNumberFormat="1" applyFont="1" applyBorder="1" applyAlignment="1">
      <alignment horizontal="left" vertical="center"/>
    </xf>
    <xf numFmtId="0" fontId="126" fillId="0" borderId="24" xfId="0" applyFont="1" applyBorder="1" applyAlignment="1">
      <alignment horizontal="left"/>
    </xf>
    <xf numFmtId="0" fontId="126" fillId="0" borderId="26" xfId="0" applyFont="1" applyBorder="1" applyAlignment="1">
      <alignment horizontal="left"/>
    </xf>
    <xf numFmtId="0" fontId="121" fillId="0" borderId="26" xfId="0" applyFont="1" applyBorder="1" applyAlignment="1">
      <alignment horizontal="left"/>
    </xf>
    <xf numFmtId="0" fontId="121" fillId="0" borderId="25" xfId="0" applyFont="1" applyBorder="1" applyAlignment="1">
      <alignment horizontal="left"/>
    </xf>
    <xf numFmtId="0" fontId="121" fillId="0" borderId="24" xfId="0" applyFont="1" applyBorder="1" applyAlignment="1">
      <alignment horizontal="left"/>
    </xf>
    <xf numFmtId="0" fontId="121" fillId="0" borderId="11" xfId="0" applyFont="1" applyBorder="1" applyAlignment="1">
      <alignment horizontal="left"/>
    </xf>
    <xf numFmtId="0" fontId="121" fillId="0" borderId="10" xfId="0" applyFont="1" applyBorder="1" applyAlignment="1">
      <alignment horizontal="left"/>
    </xf>
    <xf numFmtId="0" fontId="127" fillId="0" borderId="0" xfId="0" applyFont="1" applyAlignment="1">
      <alignment/>
    </xf>
    <xf numFmtId="0" fontId="87" fillId="0" borderId="43" xfId="0" applyFont="1" applyBorder="1" applyAlignment="1">
      <alignment horizontal="left"/>
    </xf>
    <xf numFmtId="0" fontId="87" fillId="0" borderId="44" xfId="0" applyFont="1" applyBorder="1" applyAlignment="1">
      <alignment horizontal="left"/>
    </xf>
    <xf numFmtId="0" fontId="87" fillId="0" borderId="54" xfId="0" applyFont="1" applyBorder="1" applyAlignment="1">
      <alignment horizontal="left"/>
    </xf>
    <xf numFmtId="1" fontId="88" fillId="0" borderId="31" xfId="44" applyNumberFormat="1" applyFont="1" applyBorder="1" applyAlignment="1">
      <alignment horizontal="left"/>
    </xf>
    <xf numFmtId="1" fontId="88" fillId="0" borderId="28" xfId="44" applyNumberFormat="1" applyFont="1" applyBorder="1" applyAlignment="1">
      <alignment horizontal="left"/>
    </xf>
    <xf numFmtId="1" fontId="88" fillId="0" borderId="28" xfId="42" applyNumberFormat="1" applyFont="1" applyBorder="1" applyAlignment="1">
      <alignment horizontal="left"/>
    </xf>
    <xf numFmtId="0" fontId="114" fillId="0" borderId="73" xfId="0" applyFont="1" applyBorder="1" applyAlignment="1">
      <alignment horizontal="left"/>
    </xf>
    <xf numFmtId="1" fontId="114" fillId="0" borderId="67" xfId="0" applyNumberFormat="1" applyFont="1" applyBorder="1" applyAlignment="1">
      <alignment horizontal="left"/>
    </xf>
    <xf numFmtId="1" fontId="114" fillId="0" borderId="70" xfId="0" applyNumberFormat="1" applyFont="1" applyBorder="1" applyAlignment="1">
      <alignment horizontal="left"/>
    </xf>
    <xf numFmtId="2" fontId="114" fillId="0" borderId="88" xfId="0" applyNumberFormat="1" applyFont="1" applyBorder="1" applyAlignment="1">
      <alignment horizontal="left"/>
    </xf>
    <xf numFmtId="2" fontId="114" fillId="0" borderId="45" xfId="0" applyNumberFormat="1" applyFont="1" applyBorder="1" applyAlignment="1">
      <alignment horizontal="left"/>
    </xf>
    <xf numFmtId="2" fontId="114" fillId="0" borderId="79" xfId="0" applyNumberFormat="1" applyFont="1" applyBorder="1" applyAlignment="1">
      <alignment horizontal="left"/>
    </xf>
    <xf numFmtId="1" fontId="114" fillId="0" borderId="45" xfId="0" applyNumberFormat="1" applyFont="1" applyBorder="1" applyAlignment="1">
      <alignment horizontal="left"/>
    </xf>
    <xf numFmtId="1" fontId="114" fillId="0" borderId="78" xfId="0" applyNumberFormat="1" applyFont="1" applyBorder="1" applyAlignment="1">
      <alignment horizontal="left"/>
    </xf>
    <xf numFmtId="1" fontId="114" fillId="0" borderId="80" xfId="0" applyNumberFormat="1" applyFont="1" applyBorder="1" applyAlignment="1">
      <alignment horizontal="left"/>
    </xf>
    <xf numFmtId="1" fontId="114" fillId="0" borderId="68" xfId="0" applyNumberFormat="1" applyFont="1" applyBorder="1" applyAlignment="1">
      <alignment horizontal="left"/>
    </xf>
    <xf numFmtId="2" fontId="114" fillId="0" borderId="68" xfId="0" applyNumberFormat="1" applyFont="1" applyBorder="1" applyAlignment="1">
      <alignment horizontal="left"/>
    </xf>
    <xf numFmtId="2" fontId="114" fillId="0" borderId="70" xfId="0" applyNumberFormat="1" applyFont="1" applyBorder="1" applyAlignment="1">
      <alignment horizontal="left"/>
    </xf>
    <xf numFmtId="2" fontId="114" fillId="0" borderId="67" xfId="0" applyNumberFormat="1" applyFont="1" applyBorder="1" applyAlignment="1">
      <alignment horizontal="left"/>
    </xf>
    <xf numFmtId="2" fontId="114" fillId="0" borderId="80" xfId="0" applyNumberFormat="1" applyFont="1" applyBorder="1" applyAlignment="1">
      <alignment horizontal="left"/>
    </xf>
    <xf numFmtId="0" fontId="114" fillId="0" borderId="0" xfId="0" applyFont="1" applyAlignment="1">
      <alignment horizontal="left"/>
    </xf>
    <xf numFmtId="0" fontId="114" fillId="0" borderId="77" xfId="0" applyFont="1" applyBorder="1" applyAlignment="1">
      <alignment horizontal="left"/>
    </xf>
    <xf numFmtId="1" fontId="114" fillId="0" borderId="36" xfId="0" applyNumberFormat="1" applyFont="1" applyBorder="1" applyAlignment="1">
      <alignment horizontal="left"/>
    </xf>
    <xf numFmtId="1" fontId="114" fillId="0" borderId="35" xfId="0" applyNumberFormat="1" applyFont="1" applyBorder="1" applyAlignment="1">
      <alignment horizontal="left"/>
    </xf>
    <xf numFmtId="2" fontId="114" fillId="0" borderId="85" xfId="0" applyNumberFormat="1" applyFont="1" applyBorder="1" applyAlignment="1">
      <alignment horizontal="left"/>
    </xf>
    <xf numFmtId="2" fontId="114" fillId="0" borderId="64" xfId="0" applyNumberFormat="1" applyFont="1" applyBorder="1" applyAlignment="1">
      <alignment horizontal="left"/>
    </xf>
    <xf numFmtId="2" fontId="114" fillId="0" borderId="81" xfId="0" applyNumberFormat="1" applyFont="1" applyBorder="1" applyAlignment="1">
      <alignment horizontal="left"/>
    </xf>
    <xf numFmtId="1" fontId="114" fillId="0" borderId="64" xfId="0" applyNumberFormat="1" applyFont="1" applyBorder="1" applyAlignment="1">
      <alignment horizontal="left"/>
    </xf>
    <xf numFmtId="1" fontId="114" fillId="0" borderId="34" xfId="0" applyNumberFormat="1" applyFont="1" applyBorder="1" applyAlignment="1">
      <alignment horizontal="left"/>
    </xf>
    <xf numFmtId="1" fontId="114" fillId="0" borderId="0" xfId="0" applyNumberFormat="1" applyFont="1" applyBorder="1" applyAlignment="1">
      <alignment horizontal="left"/>
    </xf>
    <xf numFmtId="1" fontId="114" fillId="0" borderId="27" xfId="0" applyNumberFormat="1" applyFont="1" applyBorder="1" applyAlignment="1">
      <alignment horizontal="left"/>
    </xf>
    <xf numFmtId="0" fontId="114" fillId="0" borderId="36" xfId="0" applyFont="1" applyBorder="1" applyAlignment="1">
      <alignment horizontal="left"/>
    </xf>
    <xf numFmtId="0" fontId="114" fillId="0" borderId="45" xfId="0" applyFont="1" applyBorder="1" applyAlignment="1">
      <alignment horizontal="left"/>
    </xf>
    <xf numFmtId="1" fontId="114" fillId="0" borderId="51" xfId="0" applyNumberFormat="1" applyFont="1" applyBorder="1" applyAlignment="1">
      <alignment horizontal="left"/>
    </xf>
    <xf numFmtId="1" fontId="114" fillId="0" borderId="50" xfId="0" applyNumberFormat="1" applyFont="1" applyBorder="1" applyAlignment="1">
      <alignment horizontal="left"/>
    </xf>
    <xf numFmtId="0" fontId="118" fillId="0" borderId="58" xfId="0" applyFont="1" applyBorder="1" applyAlignment="1">
      <alignment horizontal="left"/>
    </xf>
    <xf numFmtId="0" fontId="118" fillId="0" borderId="74" xfId="0" applyFont="1" applyBorder="1" applyAlignment="1">
      <alignment horizontal="left"/>
    </xf>
    <xf numFmtId="0" fontId="118" fillId="0" borderId="21" xfId="0" applyFont="1" applyBorder="1" applyAlignment="1">
      <alignment horizontal="left"/>
    </xf>
    <xf numFmtId="0" fontId="118" fillId="0" borderId="55" xfId="0" applyFont="1" applyBorder="1" applyAlignment="1">
      <alignment horizontal="left"/>
    </xf>
    <xf numFmtId="0" fontId="118" fillId="0" borderId="74" xfId="0" applyFont="1" applyBorder="1" applyAlignment="1">
      <alignment horizontal="center"/>
    </xf>
    <xf numFmtId="0" fontId="118" fillId="0" borderId="86" xfId="0" applyFont="1" applyBorder="1" applyAlignment="1">
      <alignment horizontal="center"/>
    </xf>
    <xf numFmtId="0" fontId="118" fillId="0" borderId="58" xfId="0" applyFont="1" applyBorder="1" applyAlignment="1">
      <alignment horizontal="center"/>
    </xf>
    <xf numFmtId="0" fontId="118" fillId="0" borderId="0" xfId="0" applyFont="1" applyAlignment="1">
      <alignment/>
    </xf>
    <xf numFmtId="0" fontId="118" fillId="0" borderId="73" xfId="0" applyFont="1" applyBorder="1" applyAlignment="1">
      <alignment horizontal="left"/>
    </xf>
    <xf numFmtId="0" fontId="118" fillId="0" borderId="73" xfId="0" applyFont="1" applyBorder="1" applyAlignment="1">
      <alignment/>
    </xf>
    <xf numFmtId="0" fontId="118" fillId="0" borderId="69" xfId="0" applyFont="1" applyBorder="1" applyAlignment="1">
      <alignment/>
    </xf>
    <xf numFmtId="2" fontId="118" fillId="0" borderId="76" xfId="0" applyNumberFormat="1" applyFont="1" applyBorder="1" applyAlignment="1">
      <alignment vertical="center"/>
    </xf>
    <xf numFmtId="2" fontId="118" fillId="0" borderId="69" xfId="0" applyNumberFormat="1" applyFont="1" applyBorder="1" applyAlignment="1">
      <alignment vertical="center"/>
    </xf>
    <xf numFmtId="2" fontId="118" fillId="0" borderId="76" xfId="0" applyNumberFormat="1" applyFont="1" applyBorder="1" applyAlignment="1">
      <alignment horizontal="right"/>
    </xf>
    <xf numFmtId="2" fontId="118" fillId="0" borderId="69" xfId="0" applyNumberFormat="1" applyFont="1" applyBorder="1" applyAlignment="1">
      <alignment horizontal="right"/>
    </xf>
    <xf numFmtId="2" fontId="118" fillId="0" borderId="76" xfId="0" applyNumberFormat="1" applyFont="1" applyBorder="1" applyAlignment="1">
      <alignment horizontal="left"/>
    </xf>
    <xf numFmtId="2" fontId="118" fillId="0" borderId="69" xfId="0" applyNumberFormat="1" applyFont="1" applyBorder="1" applyAlignment="1">
      <alignment horizontal="left"/>
    </xf>
    <xf numFmtId="2" fontId="118" fillId="0" borderId="76" xfId="42" applyNumberFormat="1" applyFont="1" applyBorder="1" applyAlignment="1">
      <alignment horizontal="right"/>
    </xf>
    <xf numFmtId="2" fontId="118" fillId="0" borderId="69" xfId="42" applyNumberFormat="1" applyFont="1" applyBorder="1" applyAlignment="1">
      <alignment horizontal="right"/>
    </xf>
    <xf numFmtId="2" fontId="118" fillId="0" borderId="76" xfId="0" applyNumberFormat="1" applyFont="1" applyBorder="1" applyAlignment="1">
      <alignment horizontal="right" wrapText="1"/>
    </xf>
    <xf numFmtId="2" fontId="118" fillId="0" borderId="69" xfId="0" applyNumberFormat="1" applyFont="1" applyBorder="1" applyAlignment="1">
      <alignment horizontal="right" wrapText="1"/>
    </xf>
    <xf numFmtId="3" fontId="118" fillId="0" borderId="76" xfId="0" applyNumberFormat="1" applyFont="1" applyBorder="1" applyAlignment="1">
      <alignment horizontal="right"/>
    </xf>
    <xf numFmtId="3" fontId="118" fillId="0" borderId="69" xfId="0" applyNumberFormat="1" applyFont="1" applyBorder="1" applyAlignment="1">
      <alignment horizontal="right"/>
    </xf>
    <xf numFmtId="2" fontId="118" fillId="0" borderId="76" xfId="0" applyNumberFormat="1" applyFont="1" applyFill="1" applyBorder="1" applyAlignment="1">
      <alignment horizontal="right"/>
    </xf>
    <xf numFmtId="2" fontId="118" fillId="0" borderId="69" xfId="0" applyNumberFormat="1" applyFont="1" applyFill="1" applyBorder="1" applyAlignment="1">
      <alignment horizontal="right"/>
    </xf>
    <xf numFmtId="2" fontId="118" fillId="0" borderId="80" xfId="42" applyNumberFormat="1" applyFont="1" applyBorder="1" applyAlignment="1">
      <alignment horizontal="right"/>
    </xf>
    <xf numFmtId="0" fontId="118" fillId="0" borderId="69" xfId="0" applyFont="1" applyBorder="1" applyAlignment="1">
      <alignment horizontal="center" vertical="center"/>
    </xf>
    <xf numFmtId="0" fontId="118" fillId="0" borderId="80" xfId="0" applyFont="1" applyBorder="1" applyAlignment="1">
      <alignment horizontal="center" vertical="center"/>
    </xf>
    <xf numFmtId="0" fontId="114" fillId="0" borderId="69" xfId="0" applyFont="1" applyBorder="1" applyAlignment="1">
      <alignment horizontal="left"/>
    </xf>
    <xf numFmtId="0" fontId="114" fillId="0" borderId="76" xfId="0" applyFont="1" applyBorder="1" applyAlignment="1">
      <alignment horizontal="left"/>
    </xf>
    <xf numFmtId="0" fontId="114" fillId="0" borderId="80" xfId="0" applyFont="1" applyBorder="1" applyAlignment="1">
      <alignment horizontal="left"/>
    </xf>
    <xf numFmtId="0" fontId="114" fillId="0" borderId="67" xfId="0" applyFont="1" applyBorder="1" applyAlignment="1">
      <alignment horizontal="left"/>
    </xf>
    <xf numFmtId="0" fontId="114" fillId="0" borderId="80" xfId="0" applyFont="1" applyBorder="1" applyAlignment="1">
      <alignment/>
    </xf>
    <xf numFmtId="0" fontId="114" fillId="0" borderId="67" xfId="0" applyFont="1" applyBorder="1" applyAlignment="1">
      <alignment/>
    </xf>
    <xf numFmtId="0" fontId="93" fillId="0" borderId="17" xfId="0" applyFont="1" applyBorder="1" applyAlignment="1">
      <alignment horizontal="left"/>
    </xf>
    <xf numFmtId="3" fontId="114" fillId="0" borderId="26" xfId="0" applyNumberFormat="1" applyFont="1" applyBorder="1" applyAlignment="1">
      <alignment horizontal="left"/>
    </xf>
    <xf numFmtId="0" fontId="93" fillId="0" borderId="26" xfId="0" applyFont="1" applyBorder="1" applyAlignment="1">
      <alignment horizontal="left"/>
    </xf>
    <xf numFmtId="0" fontId="91" fillId="0" borderId="26" xfId="0" applyFont="1" applyBorder="1" applyAlignment="1">
      <alignment horizontal="left"/>
    </xf>
    <xf numFmtId="3" fontId="114" fillId="0" borderId="69" xfId="0" applyNumberFormat="1" applyFont="1" applyBorder="1" applyAlignment="1">
      <alignment horizontal="left"/>
    </xf>
    <xf numFmtId="3" fontId="114" fillId="0" borderId="70" xfId="0" applyNumberFormat="1" applyFont="1" applyBorder="1" applyAlignment="1">
      <alignment horizontal="left"/>
    </xf>
    <xf numFmtId="1" fontId="118" fillId="0" borderId="10" xfId="0" applyNumberFormat="1" applyFont="1" applyBorder="1" applyAlignment="1">
      <alignment horizontal="left"/>
    </xf>
    <xf numFmtId="1" fontId="118" fillId="0" borderId="11" xfId="0" applyNumberFormat="1" applyFont="1" applyBorder="1" applyAlignment="1">
      <alignment horizontal="left"/>
    </xf>
    <xf numFmtId="1" fontId="118" fillId="0" borderId="12" xfId="0" applyNumberFormat="1" applyFont="1" applyBorder="1" applyAlignment="1">
      <alignment horizontal="left"/>
    </xf>
    <xf numFmtId="1" fontId="118" fillId="0" borderId="14" xfId="0" applyNumberFormat="1" applyFont="1" applyBorder="1" applyAlignment="1">
      <alignment horizontal="left"/>
    </xf>
    <xf numFmtId="1" fontId="118" fillId="0" borderId="15" xfId="0" applyNumberFormat="1" applyFont="1" applyBorder="1" applyAlignment="1">
      <alignment horizontal="left"/>
    </xf>
    <xf numFmtId="1" fontId="118" fillId="0" borderId="0" xfId="0" applyNumberFormat="1" applyFont="1" applyAlignment="1">
      <alignment/>
    </xf>
    <xf numFmtId="1" fontId="118" fillId="0" borderId="40" xfId="0" applyNumberFormat="1" applyFont="1" applyBorder="1" applyAlignment="1">
      <alignment horizontal="left" vertical="center"/>
    </xf>
    <xf numFmtId="1" fontId="118" fillId="0" borderId="24" xfId="0" applyNumberFormat="1" applyFont="1" applyBorder="1" applyAlignment="1">
      <alignment horizontal="left" vertical="center"/>
    </xf>
    <xf numFmtId="0" fontId="118" fillId="0" borderId="40" xfId="0" applyFont="1" applyBorder="1" applyAlignment="1">
      <alignment horizontal="left"/>
    </xf>
    <xf numFmtId="0" fontId="118" fillId="0" borderId="11" xfId="0" applyFont="1" applyBorder="1" applyAlignment="1">
      <alignment horizontal="left"/>
    </xf>
    <xf numFmtId="3" fontId="118" fillId="0" borderId="10" xfId="0" applyNumberFormat="1" applyFont="1" applyBorder="1" applyAlignment="1">
      <alignment horizontal="left"/>
    </xf>
    <xf numFmtId="3" fontId="118" fillId="0" borderId="14" xfId="0" applyNumberFormat="1" applyFont="1" applyBorder="1" applyAlignment="1">
      <alignment horizontal="left"/>
    </xf>
    <xf numFmtId="0" fontId="118" fillId="0" borderId="10" xfId="0" applyFont="1" applyBorder="1" applyAlignment="1">
      <alignment horizontal="left"/>
    </xf>
    <xf numFmtId="0" fontId="118" fillId="0" borderId="15" xfId="0" applyFont="1" applyBorder="1" applyAlignment="1">
      <alignment horizontal="left"/>
    </xf>
    <xf numFmtId="3" fontId="118" fillId="0" borderId="19" xfId="0" applyNumberFormat="1" applyFont="1" applyBorder="1" applyAlignment="1">
      <alignment horizontal="left"/>
    </xf>
    <xf numFmtId="3" fontId="118" fillId="0" borderId="18" xfId="0" applyNumberFormat="1" applyFont="1" applyBorder="1" applyAlignment="1">
      <alignment horizontal="left"/>
    </xf>
    <xf numFmtId="2" fontId="83" fillId="0" borderId="29" xfId="0" applyNumberFormat="1" applyFont="1" applyBorder="1" applyAlignment="1">
      <alignment horizontal="left" vertical="center"/>
    </xf>
    <xf numFmtId="2" fontId="83" fillId="0" borderId="28" xfId="0" applyNumberFormat="1" applyFont="1" applyBorder="1" applyAlignment="1">
      <alignment horizontal="left" vertical="center"/>
    </xf>
    <xf numFmtId="2" fontId="83" fillId="0" borderId="29" xfId="0" applyNumberFormat="1" applyFont="1" applyBorder="1" applyAlignment="1">
      <alignment horizontal="left"/>
    </xf>
    <xf numFmtId="2" fontId="83" fillId="0" borderId="32" xfId="0" applyNumberFormat="1" applyFont="1" applyBorder="1" applyAlignment="1">
      <alignment horizontal="left"/>
    </xf>
    <xf numFmtId="2" fontId="83" fillId="0" borderId="31" xfId="0" applyNumberFormat="1" applyFont="1" applyBorder="1" applyAlignment="1">
      <alignment horizontal="left"/>
    </xf>
    <xf numFmtId="2" fontId="83" fillId="0" borderId="28" xfId="0" applyNumberFormat="1" applyFont="1" applyBorder="1" applyAlignment="1">
      <alignment horizontal="left"/>
    </xf>
    <xf numFmtId="2" fontId="83" fillId="0" borderId="29" xfId="44" applyNumberFormat="1" applyFont="1" applyBorder="1" applyAlignment="1">
      <alignment horizontal="left"/>
    </xf>
    <xf numFmtId="2" fontId="83" fillId="0" borderId="28" xfId="44" applyNumberFormat="1" applyFont="1" applyBorder="1" applyAlignment="1">
      <alignment horizontal="left"/>
    </xf>
    <xf numFmtId="0" fontId="83" fillId="0" borderId="29" xfId="0" applyFont="1" applyBorder="1" applyAlignment="1">
      <alignment horizontal="left"/>
    </xf>
    <xf numFmtId="0" fontId="83" fillId="0" borderId="28" xfId="0" applyFont="1" applyBorder="1" applyAlignment="1">
      <alignment horizontal="left"/>
    </xf>
    <xf numFmtId="2" fontId="2" fillId="0" borderId="29" xfId="0" applyNumberFormat="1" applyFont="1" applyBorder="1" applyAlignment="1">
      <alignment horizontal="left"/>
    </xf>
    <xf numFmtId="2" fontId="2" fillId="0" borderId="32" xfId="0" applyNumberFormat="1" applyFont="1" applyBorder="1" applyAlignment="1">
      <alignment horizontal="left"/>
    </xf>
    <xf numFmtId="172" fontId="92" fillId="0" borderId="31" xfId="0" applyNumberFormat="1" applyFont="1" applyBorder="1" applyAlignment="1">
      <alignment horizontal="left"/>
    </xf>
    <xf numFmtId="172" fontId="92" fillId="0" borderId="28" xfId="0" applyNumberFormat="1" applyFont="1" applyBorder="1" applyAlignment="1">
      <alignment horizontal="left"/>
    </xf>
    <xf numFmtId="2" fontId="83" fillId="0" borderId="30" xfId="0" applyNumberFormat="1" applyFont="1" applyFill="1" applyBorder="1" applyAlignment="1">
      <alignment horizontal="left"/>
    </xf>
    <xf numFmtId="2" fontId="83" fillId="0" borderId="28" xfId="0" applyNumberFormat="1" applyFont="1" applyFill="1" applyBorder="1" applyAlignment="1">
      <alignment horizontal="left"/>
    </xf>
    <xf numFmtId="2" fontId="83" fillId="0" borderId="29" xfId="42" applyNumberFormat="1" applyFont="1" applyBorder="1" applyAlignment="1">
      <alignment horizontal="left"/>
    </xf>
    <xf numFmtId="2" fontId="83" fillId="0" borderId="28" xfId="42" applyNumberFormat="1" applyFont="1" applyBorder="1" applyAlignment="1">
      <alignment horizontal="left"/>
    </xf>
    <xf numFmtId="2" fontId="83" fillId="0" borderId="85" xfId="0" applyNumberFormat="1" applyFont="1" applyBorder="1" applyAlignment="1">
      <alignment horizontal="left" vertical="center"/>
    </xf>
    <xf numFmtId="2" fontId="83" fillId="0" borderId="23" xfId="0" applyNumberFormat="1" applyFont="1" applyBorder="1" applyAlignment="1">
      <alignment horizontal="left" vertical="center"/>
    </xf>
    <xf numFmtId="2" fontId="83" fillId="0" borderId="31" xfId="0" applyNumberFormat="1" applyFont="1" applyBorder="1" applyAlignment="1">
      <alignment horizontal="left" vertical="center"/>
    </xf>
    <xf numFmtId="2" fontId="100" fillId="0" borderId="78" xfId="0" applyNumberFormat="1" applyFont="1" applyBorder="1" applyAlignment="1">
      <alignment horizontal="left" vertical="center"/>
    </xf>
    <xf numFmtId="2" fontId="100" fillId="0" borderId="76" xfId="0" applyNumberFormat="1" applyFont="1" applyBorder="1" applyAlignment="1">
      <alignment horizontal="left" vertical="center"/>
    </xf>
    <xf numFmtId="2" fontId="100" fillId="0" borderId="80" xfId="0" applyNumberFormat="1" applyFont="1" applyBorder="1" applyAlignment="1">
      <alignment horizontal="left" vertical="center"/>
    </xf>
    <xf numFmtId="2" fontId="100" fillId="0" borderId="66" xfId="0" applyNumberFormat="1" applyFont="1" applyBorder="1" applyAlignment="1">
      <alignment horizontal="left" vertical="center"/>
    </xf>
    <xf numFmtId="2" fontId="100" fillId="0" borderId="69" xfId="42" applyNumberFormat="1" applyFont="1" applyBorder="1" applyAlignment="1">
      <alignment horizontal="left"/>
    </xf>
    <xf numFmtId="2" fontId="100" fillId="0" borderId="73" xfId="42" applyNumberFormat="1" applyFont="1" applyBorder="1" applyAlignment="1">
      <alignment horizontal="left"/>
    </xf>
    <xf numFmtId="2" fontId="97" fillId="0" borderId="81" xfId="0" applyNumberFormat="1" applyFont="1" applyBorder="1" applyAlignment="1">
      <alignment horizontal="left" vertical="center"/>
    </xf>
    <xf numFmtId="2" fontId="97" fillId="0" borderId="64" xfId="0" applyNumberFormat="1" applyFont="1" applyBorder="1" applyAlignment="1">
      <alignment horizontal="left" vertical="center"/>
    </xf>
    <xf numFmtId="2" fontId="83" fillId="0" borderId="81" xfId="0" applyNumberFormat="1" applyFont="1" applyBorder="1" applyAlignment="1">
      <alignment horizontal="left"/>
    </xf>
    <xf numFmtId="2" fontId="83" fillId="0" borderId="84" xfId="0" applyNumberFormat="1" applyFont="1" applyBorder="1" applyAlignment="1">
      <alignment horizontal="left"/>
    </xf>
    <xf numFmtId="2" fontId="83" fillId="0" borderId="85" xfId="0" applyNumberFormat="1" applyFont="1" applyBorder="1" applyAlignment="1">
      <alignment horizontal="left"/>
    </xf>
    <xf numFmtId="2" fontId="83" fillId="0" borderId="64" xfId="0" applyNumberFormat="1" applyFont="1" applyBorder="1" applyAlignment="1">
      <alignment horizontal="left"/>
    </xf>
    <xf numFmtId="2" fontId="97" fillId="0" borderId="81" xfId="0" applyNumberFormat="1" applyFont="1" applyBorder="1" applyAlignment="1">
      <alignment horizontal="left"/>
    </xf>
    <xf numFmtId="2" fontId="97" fillId="0" borderId="64" xfId="0" applyNumberFormat="1" applyFont="1" applyBorder="1" applyAlignment="1">
      <alignment horizontal="left"/>
    </xf>
    <xf numFmtId="2" fontId="97" fillId="0" borderId="84" xfId="0" applyNumberFormat="1" applyFont="1" applyBorder="1" applyAlignment="1">
      <alignment horizontal="left"/>
    </xf>
    <xf numFmtId="2" fontId="97" fillId="0" borderId="85" xfId="0" applyNumberFormat="1" applyFont="1" applyBorder="1" applyAlignment="1">
      <alignment horizontal="left"/>
    </xf>
    <xf numFmtId="0" fontId="83" fillId="0" borderId="81" xfId="0" applyFont="1" applyBorder="1" applyAlignment="1">
      <alignment horizontal="left"/>
    </xf>
    <xf numFmtId="0" fontId="83" fillId="0" borderId="64" xfId="0" applyFont="1" applyBorder="1" applyAlignment="1">
      <alignment horizontal="left"/>
    </xf>
    <xf numFmtId="0" fontId="92" fillId="0" borderId="85" xfId="0" applyFont="1" applyBorder="1" applyAlignment="1">
      <alignment horizontal="left"/>
    </xf>
    <xf numFmtId="0" fontId="92" fillId="0" borderId="64" xfId="0" applyFont="1" applyBorder="1" applyAlignment="1">
      <alignment horizontal="left"/>
    </xf>
    <xf numFmtId="2" fontId="83" fillId="0" borderId="63" xfId="0" applyNumberFormat="1" applyFont="1" applyFill="1" applyBorder="1" applyAlignment="1">
      <alignment horizontal="left"/>
    </xf>
    <xf numFmtId="2" fontId="83" fillId="0" borderId="64" xfId="0" applyNumberFormat="1" applyFont="1" applyFill="1" applyBorder="1" applyAlignment="1">
      <alignment horizontal="left"/>
    </xf>
    <xf numFmtId="2" fontId="83" fillId="0" borderId="81" xfId="42" applyNumberFormat="1" applyFont="1" applyBorder="1" applyAlignment="1">
      <alignment horizontal="left"/>
    </xf>
    <xf numFmtId="2" fontId="83" fillId="0" borderId="64" xfId="42" applyNumberFormat="1" applyFont="1" applyBorder="1" applyAlignment="1">
      <alignment horizontal="left"/>
    </xf>
    <xf numFmtId="2" fontId="83" fillId="0" borderId="84" xfId="42" applyNumberFormat="1" applyFont="1" applyBorder="1" applyAlignment="1">
      <alignment horizontal="left"/>
    </xf>
    <xf numFmtId="2" fontId="83" fillId="0" borderId="64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left"/>
    </xf>
    <xf numFmtId="0" fontId="89" fillId="0" borderId="42" xfId="0" applyFont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0" fontId="89" fillId="0" borderId="82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/>
    </xf>
    <xf numFmtId="1" fontId="83" fillId="0" borderId="73" xfId="0" applyNumberFormat="1" applyFont="1" applyFill="1" applyBorder="1" applyAlignment="1">
      <alignment horizontal="center" vertical="justify" wrapText="1"/>
    </xf>
    <xf numFmtId="1" fontId="83" fillId="0" borderId="70" xfId="0" applyNumberFormat="1" applyFont="1" applyFill="1" applyBorder="1" applyAlignment="1">
      <alignment horizontal="center" vertical="justify" wrapText="1"/>
    </xf>
    <xf numFmtId="1" fontId="83" fillId="0" borderId="73" xfId="0" applyNumberFormat="1" applyFont="1" applyBorder="1" applyAlignment="1">
      <alignment horizontal="center" vertical="justify" wrapText="1"/>
    </xf>
    <xf numFmtId="1" fontId="83" fillId="0" borderId="70" xfId="0" applyNumberFormat="1" applyFont="1" applyBorder="1" applyAlignment="1">
      <alignment horizontal="center" vertical="justify" wrapText="1"/>
    </xf>
    <xf numFmtId="1" fontId="83" fillId="0" borderId="0" xfId="0" applyNumberFormat="1" applyFont="1" applyFill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1" fontId="83" fillId="0" borderId="46" xfId="0" applyNumberFormat="1" applyFont="1" applyBorder="1" applyAlignment="1">
      <alignment horizontal="left" vertical="center"/>
    </xf>
    <xf numFmtId="1" fontId="83" fillId="0" borderId="24" xfId="0" applyNumberFormat="1" applyFont="1" applyBorder="1" applyAlignment="1">
      <alignment horizontal="left" vertical="center"/>
    </xf>
    <xf numFmtId="1" fontId="83" fillId="0" borderId="73" xfId="0" applyNumberFormat="1" applyFont="1" applyBorder="1" applyAlignment="1">
      <alignment horizontal="justify" vertical="justify" wrapText="1"/>
    </xf>
    <xf numFmtId="1" fontId="83" fillId="0" borderId="70" xfId="0" applyNumberFormat="1" applyFont="1" applyBorder="1" applyAlignment="1">
      <alignment horizontal="justify" vertical="justify" wrapText="1"/>
    </xf>
    <xf numFmtId="1" fontId="83" fillId="0" borderId="73" xfId="0" applyNumberFormat="1" applyFont="1" applyBorder="1" applyAlignment="1">
      <alignment horizontal="center" vertical="center" wrapText="1"/>
    </xf>
    <xf numFmtId="1" fontId="83" fillId="0" borderId="70" xfId="0" applyNumberFormat="1" applyFont="1" applyBorder="1" applyAlignment="1">
      <alignment horizontal="center" vertical="center" wrapText="1"/>
    </xf>
    <xf numFmtId="1" fontId="83" fillId="0" borderId="68" xfId="0" applyNumberFormat="1" applyFont="1" applyBorder="1" applyAlignment="1">
      <alignment horizontal="center" vertical="center" wrapText="1"/>
    </xf>
    <xf numFmtId="0" fontId="83" fillId="0" borderId="73" xfId="0" applyFont="1" applyBorder="1" applyAlignment="1">
      <alignment horizontal="center" vertical="center" wrapText="1"/>
    </xf>
    <xf numFmtId="0" fontId="83" fillId="0" borderId="70" xfId="0" applyFont="1" applyBorder="1" applyAlignment="1">
      <alignment horizontal="center" vertical="center" wrapText="1"/>
    </xf>
    <xf numFmtId="0" fontId="83" fillId="0" borderId="69" xfId="0" applyFont="1" applyBorder="1" applyAlignment="1">
      <alignment horizontal="center" vertical="center" wrapText="1"/>
    </xf>
    <xf numFmtId="0" fontId="83" fillId="0" borderId="80" xfId="0" applyFont="1" applyBorder="1" applyAlignment="1">
      <alignment horizontal="center" vertical="center" wrapText="1"/>
    </xf>
    <xf numFmtId="0" fontId="83" fillId="0" borderId="83" xfId="0" applyFont="1" applyFill="1" applyBorder="1" applyAlignment="1">
      <alignment horizontal="center" vertical="justify" wrapText="1"/>
    </xf>
    <xf numFmtId="0" fontId="83" fillId="0" borderId="71" xfId="0" applyFont="1" applyFill="1" applyBorder="1" applyAlignment="1">
      <alignment horizontal="center" vertical="justify" wrapText="1"/>
    </xf>
    <xf numFmtId="0" fontId="83" fillId="0" borderId="83" xfId="0" applyFont="1" applyBorder="1" applyAlignment="1">
      <alignment horizontal="center" vertical="justify" wrapText="1"/>
    </xf>
    <xf numFmtId="0" fontId="83" fillId="0" borderId="71" xfId="0" applyFont="1" applyBorder="1" applyAlignment="1">
      <alignment horizontal="center" vertical="justify" wrapText="1"/>
    </xf>
    <xf numFmtId="0" fontId="83" fillId="0" borderId="72" xfId="0" applyFont="1" applyBorder="1" applyAlignment="1">
      <alignment horizontal="center" vertical="justify" wrapText="1"/>
    </xf>
    <xf numFmtId="0" fontId="113" fillId="0" borderId="0" xfId="0" applyFont="1" applyFill="1" applyBorder="1" applyAlignment="1">
      <alignment horizontal="left"/>
    </xf>
    <xf numFmtId="0" fontId="116" fillId="0" borderId="0" xfId="0" applyFont="1" applyBorder="1" applyAlignment="1">
      <alignment horizontal="left"/>
    </xf>
    <xf numFmtId="0" fontId="128" fillId="0" borderId="52" xfId="0" applyFont="1" applyBorder="1" applyAlignment="1">
      <alignment horizontal="center" vertical="center"/>
    </xf>
    <xf numFmtId="0" fontId="128" fillId="0" borderId="87" xfId="0" applyFont="1" applyBorder="1" applyAlignment="1">
      <alignment horizontal="center" vertical="center"/>
    </xf>
    <xf numFmtId="0" fontId="83" fillId="0" borderId="83" xfId="0" applyFont="1" applyFill="1" applyBorder="1" applyAlignment="1">
      <alignment horizontal="justify" vertical="justify" wrapText="1"/>
    </xf>
    <xf numFmtId="0" fontId="83" fillId="0" borderId="71" xfId="0" applyFont="1" applyFill="1" applyBorder="1" applyAlignment="1">
      <alignment horizontal="justify" vertical="justify" wrapText="1"/>
    </xf>
    <xf numFmtId="1" fontId="91" fillId="0" borderId="73" xfId="0" applyNumberFormat="1" applyFont="1" applyBorder="1" applyAlignment="1">
      <alignment horizontal="justify" vertical="justify" wrapText="1"/>
    </xf>
    <xf numFmtId="1" fontId="91" fillId="0" borderId="70" xfId="0" applyNumberFormat="1" applyFont="1" applyBorder="1" applyAlignment="1">
      <alignment horizontal="justify" vertical="justify" wrapText="1"/>
    </xf>
    <xf numFmtId="1" fontId="91" fillId="0" borderId="73" xfId="0" applyNumberFormat="1" applyFont="1" applyFill="1" applyBorder="1" applyAlignment="1">
      <alignment horizontal="justify" vertical="justify" wrapText="1"/>
    </xf>
    <xf numFmtId="1" fontId="91" fillId="0" borderId="68" xfId="0" applyNumberFormat="1" applyFont="1" applyFill="1" applyBorder="1" applyAlignment="1">
      <alignment horizontal="justify" vertical="justify" wrapText="1"/>
    </xf>
    <xf numFmtId="1" fontId="91" fillId="0" borderId="68" xfId="0" applyNumberFormat="1" applyFont="1" applyBorder="1" applyAlignment="1">
      <alignment horizontal="justify" vertical="justify" wrapText="1"/>
    </xf>
    <xf numFmtId="1" fontId="91" fillId="0" borderId="73" xfId="0" applyNumberFormat="1" applyFont="1" applyFill="1" applyBorder="1" applyAlignment="1">
      <alignment horizontal="center" vertical="justify" wrapText="1"/>
    </xf>
    <xf numFmtId="1" fontId="91" fillId="0" borderId="70" xfId="0" applyNumberFormat="1" applyFont="1" applyFill="1" applyBorder="1" applyAlignment="1">
      <alignment horizontal="center" vertical="justify" wrapText="1"/>
    </xf>
    <xf numFmtId="1" fontId="91" fillId="0" borderId="73" xfId="0" applyNumberFormat="1" applyFont="1" applyBorder="1" applyAlignment="1">
      <alignment horizontal="center" vertical="justify" wrapText="1"/>
    </xf>
    <xf numFmtId="1" fontId="91" fillId="0" borderId="68" xfId="0" applyNumberFormat="1" applyFont="1" applyBorder="1" applyAlignment="1">
      <alignment horizontal="center" vertical="justify" wrapText="1"/>
    </xf>
    <xf numFmtId="1" fontId="91" fillId="0" borderId="68" xfId="0" applyNumberFormat="1" applyFont="1" applyFill="1" applyBorder="1" applyAlignment="1">
      <alignment horizontal="center" vertical="justify" wrapText="1"/>
    </xf>
    <xf numFmtId="1" fontId="91" fillId="0" borderId="70" xfId="0" applyNumberFormat="1" applyFont="1" applyBorder="1" applyAlignment="1">
      <alignment horizontal="center" vertical="justify" wrapText="1"/>
    </xf>
    <xf numFmtId="1" fontId="91" fillId="0" borderId="83" xfId="0" applyNumberFormat="1" applyFont="1" applyFill="1" applyBorder="1" applyAlignment="1">
      <alignment horizontal="center" vertical="justify" wrapText="1"/>
    </xf>
    <xf numFmtId="1" fontId="91" fillId="0" borderId="71" xfId="0" applyNumberFormat="1" applyFont="1" applyFill="1" applyBorder="1" applyAlignment="1">
      <alignment horizontal="center" vertical="justify" wrapText="1"/>
    </xf>
    <xf numFmtId="1" fontId="91" fillId="0" borderId="70" xfId="0" applyNumberFormat="1" applyFont="1" applyFill="1" applyBorder="1" applyAlignment="1">
      <alignment horizontal="justify" vertical="justify" wrapText="1"/>
    </xf>
    <xf numFmtId="1" fontId="91" fillId="0" borderId="83" xfId="0" applyNumberFormat="1" applyFont="1" applyFill="1" applyBorder="1" applyAlignment="1">
      <alignment horizontal="justify" vertical="justify" wrapText="1"/>
    </xf>
    <xf numFmtId="1" fontId="91" fillId="0" borderId="72" xfId="0" applyNumberFormat="1" applyFont="1" applyFill="1" applyBorder="1" applyAlignment="1">
      <alignment horizontal="justify" vertical="justify" wrapText="1"/>
    </xf>
    <xf numFmtId="1" fontId="91" fillId="0" borderId="71" xfId="0" applyNumberFormat="1" applyFont="1" applyFill="1" applyBorder="1" applyAlignment="1">
      <alignment horizontal="justify" vertical="justify" wrapText="1"/>
    </xf>
    <xf numFmtId="1" fontId="113" fillId="0" borderId="0" xfId="0" applyNumberFormat="1" applyFont="1" applyFill="1" applyBorder="1" applyAlignment="1">
      <alignment horizontal="left"/>
    </xf>
    <xf numFmtId="1" fontId="116" fillId="0" borderId="0" xfId="0" applyNumberFormat="1" applyFont="1" applyBorder="1" applyAlignment="1">
      <alignment horizontal="left"/>
    </xf>
    <xf numFmtId="1" fontId="89" fillId="0" borderId="32" xfId="0" applyNumberFormat="1" applyFont="1" applyBorder="1" applyAlignment="1">
      <alignment horizontal="left" vertical="center"/>
    </xf>
    <xf numFmtId="1" fontId="89" fillId="0" borderId="84" xfId="0" applyNumberFormat="1" applyFont="1" applyBorder="1" applyAlignment="1">
      <alignment horizontal="left" vertical="center"/>
    </xf>
    <xf numFmtId="0" fontId="86" fillId="0" borderId="0" xfId="0" applyFont="1" applyBorder="1" applyAlignment="1">
      <alignment horizontal="left"/>
    </xf>
    <xf numFmtId="0" fontId="128" fillId="0" borderId="83" xfId="0" applyFont="1" applyBorder="1" applyAlignment="1">
      <alignment horizontal="center" vertical="center"/>
    </xf>
    <xf numFmtId="0" fontId="128" fillId="0" borderId="59" xfId="0" applyFont="1" applyBorder="1" applyAlignment="1">
      <alignment horizontal="center" vertical="center"/>
    </xf>
    <xf numFmtId="0" fontId="83" fillId="0" borderId="68" xfId="0" applyFont="1" applyBorder="1" applyAlignment="1">
      <alignment horizontal="justify" vertical="justify" wrapText="1"/>
    </xf>
    <xf numFmtId="0" fontId="83" fillId="0" borderId="70" xfId="0" applyFont="1" applyBorder="1" applyAlignment="1">
      <alignment horizontal="justify" vertical="justify" wrapText="1"/>
    </xf>
    <xf numFmtId="1" fontId="83" fillId="0" borderId="68" xfId="0" applyNumberFormat="1" applyFont="1" applyBorder="1" applyAlignment="1">
      <alignment horizontal="justify" vertical="justify" wrapText="1"/>
    </xf>
    <xf numFmtId="0" fontId="83" fillId="0" borderId="73" xfId="0" applyFont="1" applyBorder="1" applyAlignment="1">
      <alignment horizontal="justify" vertical="justify" wrapText="1"/>
    </xf>
    <xf numFmtId="0" fontId="83" fillId="0" borderId="73" xfId="0" applyFont="1" applyBorder="1" applyAlignment="1">
      <alignment horizontal="center" vertical="justify" wrapText="1"/>
    </xf>
    <xf numFmtId="0" fontId="83" fillId="0" borderId="70" xfId="0" applyFont="1" applyBorder="1" applyAlignment="1">
      <alignment horizontal="center" vertical="justify" wrapText="1"/>
    </xf>
    <xf numFmtId="1" fontId="83" fillId="0" borderId="68" xfId="0" applyNumberFormat="1" applyFont="1" applyFill="1" applyBorder="1" applyAlignment="1">
      <alignment horizontal="justify" vertical="justify" wrapText="1"/>
    </xf>
    <xf numFmtId="1" fontId="83" fillId="0" borderId="70" xfId="0" applyNumberFormat="1" applyFont="1" applyFill="1" applyBorder="1" applyAlignment="1">
      <alignment horizontal="justify" vertical="justify" wrapText="1"/>
    </xf>
    <xf numFmtId="0" fontId="83" fillId="0" borderId="68" xfId="0" applyFont="1" applyFill="1" applyBorder="1" applyAlignment="1">
      <alignment horizontal="justify" vertical="justify" wrapText="1"/>
    </xf>
    <xf numFmtId="0" fontId="83" fillId="0" borderId="70" xfId="0" applyFont="1" applyFill="1" applyBorder="1" applyAlignment="1">
      <alignment horizontal="justify" vertical="justify" wrapText="1"/>
    </xf>
    <xf numFmtId="0" fontId="97" fillId="0" borderId="0" xfId="0" applyFont="1" applyAlignment="1">
      <alignment horizontal="center"/>
    </xf>
    <xf numFmtId="0" fontId="104" fillId="0" borderId="0" xfId="0" applyFont="1" applyAlignment="1">
      <alignment horizontal="left"/>
    </xf>
    <xf numFmtId="0" fontId="105" fillId="0" borderId="52" xfId="0" applyFont="1" applyBorder="1" applyAlignment="1">
      <alignment horizontal="center"/>
    </xf>
    <xf numFmtId="0" fontId="105" fillId="0" borderId="23" xfId="0" applyFont="1" applyBorder="1" applyAlignment="1">
      <alignment horizontal="center"/>
    </xf>
    <xf numFmtId="1" fontId="91" fillId="0" borderId="73" xfId="0" applyNumberFormat="1" applyFont="1" applyBorder="1" applyAlignment="1">
      <alignment horizontal="center" vertical="center" wrapText="1"/>
    </xf>
    <xf numFmtId="1" fontId="91" fillId="0" borderId="70" xfId="0" applyNumberFormat="1" applyFont="1" applyBorder="1" applyAlignment="1">
      <alignment horizontal="center" vertical="center" wrapText="1"/>
    </xf>
    <xf numFmtId="1" fontId="91" fillId="0" borderId="73" xfId="0" applyNumberFormat="1" applyFont="1" applyFill="1" applyBorder="1" applyAlignment="1">
      <alignment horizontal="center" vertical="center" wrapText="1"/>
    </xf>
    <xf numFmtId="1" fontId="91" fillId="0" borderId="70" xfId="0" applyNumberFormat="1" applyFont="1" applyFill="1" applyBorder="1" applyAlignment="1">
      <alignment horizontal="center" vertical="center" wrapText="1"/>
    </xf>
    <xf numFmtId="0" fontId="91" fillId="0" borderId="73" xfId="0" applyFont="1" applyFill="1" applyBorder="1" applyAlignment="1">
      <alignment horizontal="center" vertical="center" wrapText="1"/>
    </xf>
    <xf numFmtId="0" fontId="91" fillId="0" borderId="70" xfId="0" applyFont="1" applyFill="1" applyBorder="1" applyAlignment="1">
      <alignment horizontal="center" vertical="center" wrapText="1"/>
    </xf>
    <xf numFmtId="0" fontId="91" fillId="0" borderId="73" xfId="0" applyFont="1" applyBorder="1" applyAlignment="1">
      <alignment horizontal="center" vertical="center" wrapText="1"/>
    </xf>
    <xf numFmtId="0" fontId="91" fillId="0" borderId="70" xfId="0" applyFont="1" applyBorder="1" applyAlignment="1">
      <alignment horizontal="center" vertical="center" wrapText="1"/>
    </xf>
    <xf numFmtId="1" fontId="83" fillId="0" borderId="83" xfId="0" applyNumberFormat="1" applyFont="1" applyBorder="1" applyAlignment="1">
      <alignment horizontal="center" vertical="justify" wrapText="1"/>
    </xf>
    <xf numFmtId="1" fontId="83" fillId="0" borderId="72" xfId="0" applyNumberFormat="1" applyFont="1" applyBorder="1" applyAlignment="1">
      <alignment horizontal="center" vertical="justify" wrapText="1"/>
    </xf>
    <xf numFmtId="1" fontId="83" fillId="0" borderId="71" xfId="0" applyNumberFormat="1" applyFont="1" applyBorder="1" applyAlignment="1">
      <alignment horizontal="center" vertical="justify" wrapText="1"/>
    </xf>
    <xf numFmtId="1" fontId="83" fillId="0" borderId="57" xfId="0" applyNumberFormat="1" applyFont="1" applyFill="1" applyBorder="1" applyAlignment="1">
      <alignment horizontal="justify" vertical="justify" wrapText="1"/>
    </xf>
    <xf numFmtId="1" fontId="83" fillId="0" borderId="53" xfId="0" applyNumberFormat="1" applyFont="1" applyFill="1" applyBorder="1" applyAlignment="1">
      <alignment horizontal="justify" vertical="justify" wrapText="1"/>
    </xf>
    <xf numFmtId="1" fontId="83" fillId="0" borderId="44" xfId="0" applyNumberFormat="1" applyFont="1" applyFill="1" applyBorder="1" applyAlignment="1">
      <alignment horizontal="justify" vertical="justify" wrapText="1"/>
    </xf>
    <xf numFmtId="1" fontId="83" fillId="0" borderId="43" xfId="0" applyNumberFormat="1" applyFont="1" applyFill="1" applyBorder="1" applyAlignment="1">
      <alignment horizontal="justify" vertical="justify" wrapText="1"/>
    </xf>
    <xf numFmtId="1" fontId="83" fillId="0" borderId="57" xfId="0" applyNumberFormat="1" applyFont="1" applyBorder="1" applyAlignment="1">
      <alignment horizontal="justify" vertical="justify" wrapText="1"/>
    </xf>
    <xf numFmtId="1" fontId="83" fillId="0" borderId="53" xfId="0" applyNumberFormat="1" applyFont="1" applyBorder="1" applyAlignment="1">
      <alignment horizontal="justify" vertical="justify" wrapText="1"/>
    </xf>
    <xf numFmtId="1" fontId="83" fillId="0" borderId="44" xfId="0" applyNumberFormat="1" applyFont="1" applyBorder="1" applyAlignment="1">
      <alignment horizontal="justify" vertical="justify" wrapText="1"/>
    </xf>
    <xf numFmtId="1" fontId="89" fillId="0" borderId="0" xfId="0" applyNumberFormat="1" applyFont="1" applyFill="1" applyBorder="1" applyAlignment="1">
      <alignment horizontal="left"/>
    </xf>
    <xf numFmtId="1" fontId="129" fillId="0" borderId="0" xfId="0" applyNumberFormat="1" applyFont="1" applyBorder="1" applyAlignment="1">
      <alignment horizontal="left"/>
    </xf>
    <xf numFmtId="1" fontId="83" fillId="0" borderId="43" xfId="0" applyNumberFormat="1" applyFont="1" applyBorder="1" applyAlignment="1">
      <alignment horizontal="justify" vertical="justify" wrapText="1"/>
    </xf>
    <xf numFmtId="1" fontId="83" fillId="0" borderId="56" xfId="0" applyNumberFormat="1" applyFont="1" applyBorder="1" applyAlignment="1">
      <alignment horizontal="justify" vertical="justify" wrapText="1"/>
    </xf>
    <xf numFmtId="0" fontId="87" fillId="0" borderId="52" xfId="0" applyFont="1" applyBorder="1" applyAlignment="1">
      <alignment horizontal="center" vertical="center" wrapText="1"/>
    </xf>
    <xf numFmtId="0" fontId="87" fillId="0" borderId="87" xfId="0" applyFont="1" applyBorder="1" applyAlignment="1">
      <alignment horizontal="center" vertical="center" wrapText="1"/>
    </xf>
    <xf numFmtId="0" fontId="113" fillId="0" borderId="73" xfId="0" applyFont="1" applyBorder="1" applyAlignment="1">
      <alignment horizontal="center" vertical="center" wrapText="1"/>
    </xf>
    <xf numFmtId="0" fontId="113" fillId="0" borderId="68" xfId="0" applyFont="1" applyBorder="1" applyAlignment="1">
      <alignment horizontal="center" vertical="center" wrapText="1"/>
    </xf>
    <xf numFmtId="0" fontId="113" fillId="0" borderId="69" xfId="0" applyFont="1" applyBorder="1" applyAlignment="1">
      <alignment horizontal="center"/>
    </xf>
    <xf numFmtId="0" fontId="113" fillId="0" borderId="78" xfId="0" applyFont="1" applyBorder="1" applyAlignment="1">
      <alignment horizontal="center"/>
    </xf>
    <xf numFmtId="0" fontId="113" fillId="0" borderId="80" xfId="0" applyFont="1" applyBorder="1" applyAlignment="1">
      <alignment horizontal="center"/>
    </xf>
    <xf numFmtId="0" fontId="130" fillId="0" borderId="17" xfId="0" applyFont="1" applyBorder="1" applyAlignment="1">
      <alignment horizontal="center" vertical="center" wrapText="1"/>
    </xf>
    <xf numFmtId="0" fontId="130" fillId="0" borderId="0" xfId="0" applyFont="1" applyBorder="1" applyAlignment="1">
      <alignment horizontal="center" vertical="center" wrapText="1"/>
    </xf>
    <xf numFmtId="0" fontId="107" fillId="0" borderId="46" xfId="0" applyFont="1" applyBorder="1" applyAlignment="1">
      <alignment horizontal="center"/>
    </xf>
    <xf numFmtId="0" fontId="107" fillId="0" borderId="42" xfId="0" applyFont="1" applyBorder="1" applyAlignment="1">
      <alignment horizontal="center"/>
    </xf>
    <xf numFmtId="0" fontId="105" fillId="0" borderId="52" xfId="0" applyFont="1" applyBorder="1" applyAlignment="1">
      <alignment horizontal="left"/>
    </xf>
    <xf numFmtId="0" fontId="105" fillId="0" borderId="23" xfId="0" applyFont="1" applyBorder="1" applyAlignment="1">
      <alignment horizontal="left"/>
    </xf>
    <xf numFmtId="0" fontId="105" fillId="0" borderId="37" xfId="0" applyFont="1" applyBorder="1" applyAlignment="1">
      <alignment horizontal="left"/>
    </xf>
    <xf numFmtId="0" fontId="107" fillId="0" borderId="73" xfId="0" applyFont="1" applyBorder="1" applyAlignment="1">
      <alignment horizontal="center"/>
    </xf>
    <xf numFmtId="0" fontId="107" fillId="0" borderId="68" xfId="0" applyFont="1" applyBorder="1" applyAlignment="1">
      <alignment horizontal="center"/>
    </xf>
    <xf numFmtId="0" fontId="107" fillId="0" borderId="70" xfId="0" applyFont="1" applyBorder="1" applyAlignment="1">
      <alignment horizontal="center"/>
    </xf>
    <xf numFmtId="0" fontId="83" fillId="0" borderId="68" xfId="0" applyFont="1" applyBorder="1" applyAlignment="1">
      <alignment horizontal="center" vertical="center" wrapText="1"/>
    </xf>
    <xf numFmtId="0" fontId="83" fillId="0" borderId="68" xfId="0" applyFont="1" applyBorder="1" applyAlignment="1">
      <alignment horizontal="center" vertical="center"/>
    </xf>
    <xf numFmtId="0" fontId="83" fillId="0" borderId="70" xfId="0" applyFont="1" applyBorder="1" applyAlignment="1">
      <alignment horizontal="center" vertical="center"/>
    </xf>
    <xf numFmtId="0" fontId="83" fillId="0" borderId="61" xfId="0" applyFont="1" applyBorder="1" applyAlignment="1">
      <alignment horizontal="left" vertical="center" wrapText="1"/>
    </xf>
    <xf numFmtId="0" fontId="83" fillId="0" borderId="62" xfId="0" applyFont="1" applyBorder="1" applyAlignment="1">
      <alignment horizontal="left" vertical="center" wrapText="1"/>
    </xf>
    <xf numFmtId="0" fontId="91" fillId="0" borderId="68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left" vertical="center" wrapText="1"/>
    </xf>
    <xf numFmtId="0" fontId="83" fillId="0" borderId="53" xfId="0" applyFont="1" applyBorder="1" applyAlignment="1">
      <alignment horizontal="left" vertical="center" wrapText="1"/>
    </xf>
    <xf numFmtId="0" fontId="83" fillId="0" borderId="44" xfId="0" applyFont="1" applyBorder="1" applyAlignment="1">
      <alignment horizontal="left" vertical="center" wrapText="1"/>
    </xf>
    <xf numFmtId="0" fontId="83" fillId="0" borderId="83" xfId="0" applyFont="1" applyBorder="1" applyAlignment="1">
      <alignment horizontal="center" vertical="center" wrapText="1"/>
    </xf>
    <xf numFmtId="0" fontId="83" fillId="0" borderId="72" xfId="0" applyFont="1" applyBorder="1" applyAlignment="1">
      <alignment horizontal="center" vertical="center" wrapText="1"/>
    </xf>
    <xf numFmtId="0" fontId="83" fillId="0" borderId="71" xfId="0" applyFont="1" applyBorder="1" applyAlignment="1">
      <alignment horizontal="center" vertical="center" wrapText="1"/>
    </xf>
    <xf numFmtId="0" fontId="83" fillId="0" borderId="83" xfId="0" applyFont="1" applyFill="1" applyBorder="1" applyAlignment="1">
      <alignment horizontal="center" vertical="center" wrapText="1"/>
    </xf>
    <xf numFmtId="0" fontId="83" fillId="0" borderId="72" xfId="0" applyFont="1" applyFill="1" applyBorder="1" applyAlignment="1">
      <alignment horizontal="center" vertical="center" wrapText="1"/>
    </xf>
    <xf numFmtId="0" fontId="83" fillId="0" borderId="71" xfId="0" applyFont="1" applyFill="1" applyBorder="1" applyAlignment="1">
      <alignment horizontal="center" vertical="center" wrapText="1"/>
    </xf>
    <xf numFmtId="0" fontId="83" fillId="0" borderId="73" xfId="0" applyFont="1" applyFill="1" applyBorder="1" applyAlignment="1">
      <alignment horizontal="center" vertical="center" wrapText="1"/>
    </xf>
    <xf numFmtId="0" fontId="83" fillId="0" borderId="68" xfId="0" applyFont="1" applyFill="1" applyBorder="1" applyAlignment="1">
      <alignment horizontal="center" vertical="center" wrapText="1"/>
    </xf>
    <xf numFmtId="0" fontId="83" fillId="0" borderId="70" xfId="0" applyFont="1" applyFill="1" applyBorder="1" applyAlignment="1">
      <alignment horizontal="center" vertical="center" wrapText="1"/>
    </xf>
    <xf numFmtId="0" fontId="83" fillId="0" borderId="57" xfId="0" applyFont="1" applyBorder="1" applyAlignment="1">
      <alignment horizontal="left" vertical="center" wrapText="1"/>
    </xf>
    <xf numFmtId="0" fontId="83" fillId="0" borderId="69" xfId="0" applyFont="1" applyBorder="1" applyAlignment="1">
      <alignment horizontal="left" vertical="center" wrapText="1"/>
    </xf>
    <xf numFmtId="0" fontId="83" fillId="0" borderId="78" xfId="0" applyFont="1" applyBorder="1" applyAlignment="1">
      <alignment horizontal="left" vertical="center" wrapText="1"/>
    </xf>
    <xf numFmtId="0" fontId="83" fillId="0" borderId="80" xfId="0" applyFont="1" applyBorder="1" applyAlignment="1">
      <alignment horizontal="left" vertical="center" wrapText="1"/>
    </xf>
    <xf numFmtId="0" fontId="83" fillId="0" borderId="83" xfId="0" applyFont="1" applyBorder="1" applyAlignment="1">
      <alignment horizontal="left" vertical="center" wrapText="1"/>
    </xf>
    <xf numFmtId="0" fontId="83" fillId="0" borderId="72" xfId="0" applyFont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/>
    </xf>
    <xf numFmtId="0" fontId="83" fillId="0" borderId="0" xfId="0" applyFont="1" applyBorder="1" applyAlignment="1">
      <alignment horizontal="left"/>
    </xf>
    <xf numFmtId="1" fontId="83" fillId="0" borderId="73" xfId="0" applyNumberFormat="1" applyFont="1" applyFill="1" applyBorder="1" applyAlignment="1">
      <alignment horizontal="center" vertical="center" wrapText="1"/>
    </xf>
    <xf numFmtId="1" fontId="83" fillId="0" borderId="70" xfId="0" applyNumberFormat="1" applyFont="1" applyFill="1" applyBorder="1" applyAlignment="1">
      <alignment horizontal="center" vertical="center" wrapText="1"/>
    </xf>
    <xf numFmtId="0" fontId="83" fillId="0" borderId="82" xfId="0" applyFont="1" applyBorder="1" applyAlignment="1">
      <alignment horizontal="left" vertical="center" wrapText="1"/>
    </xf>
    <xf numFmtId="0" fontId="83" fillId="0" borderId="47" xfId="0" applyFont="1" applyBorder="1" applyAlignment="1">
      <alignment horizontal="left" vertical="center" wrapText="1"/>
    </xf>
    <xf numFmtId="0" fontId="83" fillId="0" borderId="48" xfId="0" applyFont="1" applyBorder="1" applyAlignment="1">
      <alignment horizontal="left" vertical="center" wrapText="1"/>
    </xf>
    <xf numFmtId="0" fontId="83" fillId="0" borderId="50" xfId="0" applyFont="1" applyBorder="1" applyAlignment="1">
      <alignment horizontal="left" vertical="center" wrapText="1"/>
    </xf>
    <xf numFmtId="0" fontId="83" fillId="0" borderId="51" xfId="0" applyFont="1" applyBorder="1" applyAlignment="1">
      <alignment horizontal="left" vertical="center" wrapText="1"/>
    </xf>
    <xf numFmtId="0" fontId="83" fillId="0" borderId="47" xfId="0" applyFont="1" applyFill="1" applyBorder="1" applyAlignment="1">
      <alignment horizontal="left" vertical="center" wrapText="1"/>
    </xf>
    <xf numFmtId="0" fontId="83" fillId="0" borderId="48" xfId="0" applyFont="1" applyFill="1" applyBorder="1" applyAlignment="1">
      <alignment horizontal="left" vertical="center" wrapText="1"/>
    </xf>
    <xf numFmtId="0" fontId="83" fillId="0" borderId="50" xfId="0" applyFont="1" applyFill="1" applyBorder="1" applyAlignment="1">
      <alignment horizontal="left" vertical="center" wrapText="1"/>
    </xf>
    <xf numFmtId="0" fontId="105" fillId="0" borderId="82" xfId="0" applyFont="1" applyBorder="1" applyAlignment="1">
      <alignment horizontal="left" vertical="center"/>
    </xf>
    <xf numFmtId="0" fontId="105" fillId="0" borderId="17" xfId="0" applyFont="1" applyBorder="1" applyAlignment="1">
      <alignment horizontal="left" vertical="center"/>
    </xf>
    <xf numFmtId="0" fontId="83" fillId="0" borderId="83" xfId="0" applyFont="1" applyBorder="1" applyAlignment="1">
      <alignment horizontal="justify" vertical="justify" wrapText="1"/>
    </xf>
    <xf numFmtId="0" fontId="83" fillId="0" borderId="72" xfId="0" applyFont="1" applyBorder="1" applyAlignment="1">
      <alignment horizontal="justify" vertical="justify" wrapText="1"/>
    </xf>
    <xf numFmtId="0" fontId="83" fillId="0" borderId="71" xfId="0" applyFont="1" applyBorder="1" applyAlignment="1">
      <alignment horizontal="justify" vertical="justify" wrapText="1"/>
    </xf>
    <xf numFmtId="0" fontId="83" fillId="0" borderId="71" xfId="0" applyFont="1" applyBorder="1" applyAlignment="1">
      <alignment horizontal="left" vertical="center" wrapText="1"/>
    </xf>
    <xf numFmtId="0" fontId="83" fillId="0" borderId="83" xfId="0" applyFont="1" applyFill="1" applyBorder="1" applyAlignment="1">
      <alignment horizontal="left" vertical="center" wrapText="1"/>
    </xf>
    <xf numFmtId="0" fontId="83" fillId="0" borderId="72" xfId="0" applyFont="1" applyFill="1" applyBorder="1" applyAlignment="1">
      <alignment horizontal="left" vertical="center" wrapText="1"/>
    </xf>
    <xf numFmtId="0" fontId="83" fillId="0" borderId="71" xfId="0" applyFont="1" applyFill="1" applyBorder="1" applyAlignment="1">
      <alignment horizontal="left" vertical="center" wrapText="1"/>
    </xf>
    <xf numFmtId="0" fontId="83" fillId="0" borderId="51" xfId="0" applyFont="1" applyFill="1" applyBorder="1" applyAlignment="1">
      <alignment horizontal="left" vertical="center" wrapText="1"/>
    </xf>
    <xf numFmtId="0" fontId="83" fillId="0" borderId="49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justify" wrapText="1"/>
    </xf>
    <xf numFmtId="0" fontId="4" fillId="0" borderId="70" xfId="0" applyFont="1" applyBorder="1" applyAlignment="1">
      <alignment horizontal="left" vertical="justify" wrapText="1"/>
    </xf>
    <xf numFmtId="0" fontId="4" fillId="0" borderId="69" xfId="0" applyFont="1" applyBorder="1" applyAlignment="1">
      <alignment horizontal="left" vertical="justify" wrapText="1"/>
    </xf>
    <xf numFmtId="0" fontId="4" fillId="0" borderId="78" xfId="0" applyFont="1" applyBorder="1" applyAlignment="1">
      <alignment horizontal="left" vertical="justify" wrapText="1"/>
    </xf>
    <xf numFmtId="0" fontId="4" fillId="0" borderId="80" xfId="0" applyFont="1" applyBorder="1" applyAlignment="1">
      <alignment horizontal="left" vertical="justify" wrapText="1"/>
    </xf>
    <xf numFmtId="0" fontId="4" fillId="0" borderId="73" xfId="0" applyFont="1" applyBorder="1" applyAlignment="1">
      <alignment horizontal="left" vertical="justify" wrapText="1"/>
    </xf>
    <xf numFmtId="0" fontId="4" fillId="0" borderId="82" xfId="0" applyFont="1" applyBorder="1" applyAlignment="1">
      <alignment horizontal="center" vertical="justify" wrapText="1"/>
    </xf>
    <xf numFmtId="0" fontId="4" fillId="0" borderId="61" xfId="0" applyFont="1" applyBorder="1" applyAlignment="1">
      <alignment horizontal="center" vertical="justify" wrapText="1"/>
    </xf>
    <xf numFmtId="0" fontId="4" fillId="0" borderId="62" xfId="0" applyFont="1" applyBorder="1" applyAlignment="1">
      <alignment horizontal="center" vertical="justify" wrapText="1"/>
    </xf>
    <xf numFmtId="0" fontId="4" fillId="0" borderId="82" xfId="0" applyFont="1" applyFill="1" applyBorder="1" applyAlignment="1">
      <alignment horizontal="center" vertical="justify" wrapText="1"/>
    </xf>
    <xf numFmtId="0" fontId="4" fillId="0" borderId="61" xfId="0" applyFont="1" applyFill="1" applyBorder="1" applyAlignment="1">
      <alignment horizontal="center" vertical="justify" wrapText="1"/>
    </xf>
    <xf numFmtId="0" fontId="4" fillId="0" borderId="62" xfId="0" applyFont="1" applyFill="1" applyBorder="1" applyAlignment="1">
      <alignment horizontal="center" vertical="justify" wrapText="1"/>
    </xf>
    <xf numFmtId="0" fontId="4" fillId="0" borderId="82" xfId="0" applyFont="1" applyFill="1" applyBorder="1" applyAlignment="1">
      <alignment horizontal="justify" vertical="justify" wrapText="1"/>
    </xf>
    <xf numFmtId="0" fontId="4" fillId="0" borderId="61" xfId="0" applyFont="1" applyFill="1" applyBorder="1" applyAlignment="1">
      <alignment horizontal="justify" vertical="justify" wrapText="1"/>
    </xf>
    <xf numFmtId="0" fontId="83" fillId="0" borderId="0" xfId="0" applyFont="1" applyFill="1" applyBorder="1" applyAlignment="1">
      <alignment horizontal="justify" vertical="justify" wrapText="1"/>
    </xf>
    <xf numFmtId="0" fontId="83" fillId="0" borderId="52" xfId="0" applyFont="1" applyBorder="1" applyAlignment="1">
      <alignment horizontal="left" vertical="center"/>
    </xf>
    <xf numFmtId="0" fontId="83" fillId="0" borderId="87" xfId="0" applyFont="1" applyBorder="1" applyAlignment="1">
      <alignment horizontal="left" vertical="center"/>
    </xf>
    <xf numFmtId="0" fontId="91" fillId="0" borderId="82" xfId="0" applyFont="1" applyBorder="1" applyAlignment="1">
      <alignment horizontal="center" vertical="justify" wrapText="1"/>
    </xf>
    <xf numFmtId="0" fontId="91" fillId="0" borderId="62" xfId="0" applyFont="1" applyBorder="1" applyAlignment="1">
      <alignment horizontal="center" vertical="justify" wrapText="1"/>
    </xf>
    <xf numFmtId="1" fontId="91" fillId="0" borderId="82" xfId="0" applyNumberFormat="1" applyFont="1" applyBorder="1" applyAlignment="1">
      <alignment horizontal="center" vertical="justify" wrapText="1"/>
    </xf>
    <xf numFmtId="1" fontId="91" fillId="0" borderId="62" xfId="0" applyNumberFormat="1" applyFont="1" applyBorder="1" applyAlignment="1">
      <alignment horizontal="center" vertical="justify" wrapText="1"/>
    </xf>
    <xf numFmtId="0" fontId="91" fillId="0" borderId="82" xfId="0" applyFont="1" applyFill="1" applyBorder="1" applyAlignment="1">
      <alignment horizontal="center" vertical="justify" wrapText="1"/>
    </xf>
    <xf numFmtId="0" fontId="91" fillId="0" borderId="62" xfId="0" applyFont="1" applyFill="1" applyBorder="1" applyAlignment="1">
      <alignment horizontal="center" vertical="justify" wrapText="1"/>
    </xf>
    <xf numFmtId="0" fontId="91" fillId="0" borderId="82" xfId="0" applyFont="1" applyFill="1" applyBorder="1" applyAlignment="1">
      <alignment horizontal="justify" vertical="justify" wrapText="1"/>
    </xf>
    <xf numFmtId="0" fontId="91" fillId="0" borderId="62" xfId="0" applyFont="1" applyFill="1" applyBorder="1" applyAlignment="1">
      <alignment horizontal="justify" vertical="justify" wrapText="1"/>
    </xf>
    <xf numFmtId="0" fontId="2" fillId="0" borderId="8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83" fillId="0" borderId="73" xfId="0" applyFont="1" applyFill="1" applyBorder="1" applyAlignment="1">
      <alignment horizontal="center" vertical="justify" wrapText="1"/>
    </xf>
    <xf numFmtId="0" fontId="83" fillId="0" borderId="70" xfId="0" applyFont="1" applyFill="1" applyBorder="1" applyAlignment="1">
      <alignment horizontal="center" vertical="justify" wrapText="1"/>
    </xf>
    <xf numFmtId="0" fontId="83" fillId="0" borderId="68" xfId="0" applyFont="1" applyBorder="1" applyAlignment="1">
      <alignment horizontal="center" vertical="justify" wrapText="1"/>
    </xf>
    <xf numFmtId="0" fontId="83" fillId="0" borderId="0" xfId="0" applyFont="1" applyFill="1" applyBorder="1" applyAlignment="1">
      <alignment horizontal="left" vertical="center" wrapText="1"/>
    </xf>
    <xf numFmtId="0" fontId="83" fillId="0" borderId="82" xfId="0" applyFont="1" applyBorder="1" applyAlignment="1">
      <alignment horizontal="left" vertical="center"/>
    </xf>
    <xf numFmtId="0" fontId="83" fillId="0" borderId="77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8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BC6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60" sqref="A60:IV60"/>
    </sheetView>
  </sheetViews>
  <sheetFormatPr defaultColWidth="9.140625" defaultRowHeight="15"/>
  <cols>
    <col min="1" max="1" width="65.00390625" style="106" bestFit="1" customWidth="1"/>
    <col min="2" max="2" width="3.8515625" style="106" customWidth="1"/>
    <col min="3" max="4" width="13.8515625" style="106" bestFit="1" customWidth="1"/>
    <col min="5" max="5" width="13.8515625" style="106" customWidth="1"/>
    <col min="6" max="6" width="13.8515625" style="106" bestFit="1" customWidth="1"/>
    <col min="7" max="8" width="13.421875" style="106" bestFit="1" customWidth="1"/>
    <col min="9" max="9" width="15.8515625" style="106" customWidth="1"/>
    <col min="10" max="10" width="15.8515625" style="106" bestFit="1" customWidth="1"/>
    <col min="11" max="12" width="14.421875" style="106" bestFit="1" customWidth="1"/>
    <col min="13" max="13" width="18.28125" style="106" bestFit="1" customWidth="1"/>
    <col min="14" max="14" width="18.28125" style="478" bestFit="1" customWidth="1"/>
    <col min="15" max="15" width="13.8515625" style="478" bestFit="1" customWidth="1"/>
    <col min="16" max="17" width="13.8515625" style="106" customWidth="1"/>
    <col min="18" max="18" width="13.421875" style="106" bestFit="1" customWidth="1"/>
    <col min="19" max="19" width="13.421875" style="106" customWidth="1"/>
    <col min="20" max="20" width="13.8515625" style="106" bestFit="1" customWidth="1"/>
    <col min="21" max="21" width="13.8515625" style="106" customWidth="1"/>
    <col min="22" max="22" width="13.8515625" style="106" bestFit="1" customWidth="1"/>
    <col min="23" max="24" width="14.57421875" style="106" bestFit="1" customWidth="1"/>
    <col min="25" max="25" width="14.57421875" style="106" customWidth="1"/>
    <col min="26" max="26" width="14.57421875" style="106" bestFit="1" customWidth="1"/>
    <col min="27" max="27" width="13.8515625" style="106" bestFit="1" customWidth="1"/>
    <col min="28" max="28" width="13.421875" style="106" bestFit="1" customWidth="1"/>
    <col min="29" max="29" width="13.421875" style="106" customWidth="1"/>
    <col min="30" max="30" width="13.8515625" style="106" bestFit="1" customWidth="1"/>
    <col min="31" max="34" width="14.57421875" style="106" bestFit="1" customWidth="1"/>
    <col min="35" max="35" width="13.8515625" style="106" bestFit="1" customWidth="1"/>
    <col min="36" max="36" width="13.421875" style="106" bestFit="1" customWidth="1"/>
    <col min="37" max="37" width="13.421875" style="106" customWidth="1"/>
    <col min="38" max="39" width="13.8515625" style="106" customWidth="1"/>
    <col min="40" max="40" width="12.421875" style="106" bestFit="1" customWidth="1"/>
    <col min="41" max="42" width="14.57421875" style="106" bestFit="1" customWidth="1"/>
    <col min="43" max="44" width="13.421875" style="106" bestFit="1" customWidth="1"/>
    <col min="45" max="46" width="13.8515625" style="106" bestFit="1" customWidth="1"/>
    <col min="47" max="48" width="14.57421875" style="106" bestFit="1" customWidth="1"/>
    <col min="49" max="49" width="15.28125" style="106" bestFit="1" customWidth="1"/>
    <col min="50" max="50" width="15.00390625" style="106" bestFit="1" customWidth="1"/>
    <col min="51" max="51" width="16.8515625" style="106" bestFit="1" customWidth="1"/>
    <col min="52" max="52" width="15.7109375" style="106" bestFit="1" customWidth="1"/>
    <col min="53" max="54" width="14.8515625" style="106" bestFit="1" customWidth="1"/>
    <col min="55" max="55" width="9.57421875" style="106" bestFit="1" customWidth="1"/>
    <col min="56" max="16384" width="9.140625" style="106" customWidth="1"/>
  </cols>
  <sheetData>
    <row r="1" spans="1:54" s="491" customFormat="1" ht="17.25" thickBot="1">
      <c r="A1" s="1601" t="s">
        <v>360</v>
      </c>
      <c r="B1" s="1601"/>
      <c r="C1" s="1601"/>
      <c r="D1" s="1601"/>
      <c r="E1" s="1601"/>
      <c r="F1" s="1601"/>
      <c r="G1" s="1601"/>
      <c r="H1" s="1601"/>
      <c r="I1" s="1601"/>
      <c r="J1" s="1601"/>
      <c r="K1" s="1601"/>
      <c r="L1" s="1601"/>
      <c r="M1" s="1601"/>
      <c r="N1" s="1601"/>
      <c r="O1" s="1601"/>
      <c r="P1" s="1601"/>
      <c r="Q1" s="1601"/>
      <c r="R1" s="1601"/>
      <c r="S1" s="1601"/>
      <c r="T1" s="1601"/>
      <c r="U1" s="1601"/>
      <c r="V1" s="1601"/>
      <c r="W1" s="1601"/>
      <c r="X1" s="1601"/>
      <c r="Y1" s="1601"/>
      <c r="Z1" s="1601"/>
      <c r="AA1" s="1601"/>
      <c r="AB1" s="1601"/>
      <c r="AC1" s="1601"/>
      <c r="AD1" s="1601"/>
      <c r="AE1" s="1601"/>
      <c r="AF1" s="1601"/>
      <c r="AG1" s="1601"/>
      <c r="AH1" s="1601"/>
      <c r="AI1" s="1601"/>
      <c r="AJ1" s="1601"/>
      <c r="AK1" s="1601"/>
      <c r="AL1" s="1601"/>
      <c r="AM1" s="1601"/>
      <c r="AN1" s="1601"/>
      <c r="AO1" s="1601"/>
      <c r="AP1" s="1601"/>
      <c r="AQ1" s="1601"/>
      <c r="AR1" s="1601"/>
      <c r="AS1" s="1601"/>
      <c r="AT1" s="1601"/>
      <c r="AU1" s="1601"/>
      <c r="AV1" s="1601"/>
      <c r="AW1" s="1601"/>
      <c r="AX1" s="1601"/>
      <c r="AY1" s="1601"/>
      <c r="AZ1" s="1601"/>
      <c r="BA1" s="1601"/>
      <c r="BB1" s="1601"/>
    </row>
    <row r="2" spans="1:54" ht="69" customHeight="1" thickBot="1">
      <c r="A2" s="1602" t="s">
        <v>0</v>
      </c>
      <c r="B2" s="729"/>
      <c r="C2" s="1116" t="s">
        <v>163</v>
      </c>
      <c r="D2" s="1118" t="s">
        <v>163</v>
      </c>
      <c r="E2" s="1106" t="s">
        <v>164</v>
      </c>
      <c r="F2" s="1132" t="s">
        <v>164</v>
      </c>
      <c r="G2" s="1106" t="s">
        <v>165</v>
      </c>
      <c r="H2" s="1132" t="s">
        <v>165</v>
      </c>
      <c r="I2" s="1106" t="s">
        <v>166</v>
      </c>
      <c r="J2" s="1132" t="s">
        <v>166</v>
      </c>
      <c r="K2" s="1106" t="s">
        <v>167</v>
      </c>
      <c r="L2" s="1132" t="s">
        <v>167</v>
      </c>
      <c r="M2" s="1106" t="s">
        <v>168</v>
      </c>
      <c r="N2" s="1132" t="s">
        <v>168</v>
      </c>
      <c r="O2" s="1106" t="s">
        <v>446</v>
      </c>
      <c r="P2" s="1132" t="s">
        <v>446</v>
      </c>
      <c r="Q2" s="1106" t="s">
        <v>169</v>
      </c>
      <c r="R2" s="1132" t="s">
        <v>169</v>
      </c>
      <c r="S2" s="1106" t="s">
        <v>170</v>
      </c>
      <c r="T2" s="1132" t="s">
        <v>170</v>
      </c>
      <c r="U2" s="1106" t="s">
        <v>171</v>
      </c>
      <c r="V2" s="1132" t="s">
        <v>171</v>
      </c>
      <c r="W2" s="1106" t="s">
        <v>172</v>
      </c>
      <c r="X2" s="1132" t="s">
        <v>172</v>
      </c>
      <c r="Y2" s="1106" t="s">
        <v>173</v>
      </c>
      <c r="Z2" s="1132" t="s">
        <v>173</v>
      </c>
      <c r="AA2" s="1106" t="s">
        <v>526</v>
      </c>
      <c r="AB2" s="1132" t="s">
        <v>526</v>
      </c>
      <c r="AC2" s="1106" t="s">
        <v>174</v>
      </c>
      <c r="AD2" s="1132" t="s">
        <v>174</v>
      </c>
      <c r="AE2" s="1106" t="s">
        <v>175</v>
      </c>
      <c r="AF2" s="1132" t="s">
        <v>175</v>
      </c>
      <c r="AG2" s="1106" t="s">
        <v>176</v>
      </c>
      <c r="AH2" s="1132" t="s">
        <v>176</v>
      </c>
      <c r="AI2" s="1106" t="s">
        <v>177</v>
      </c>
      <c r="AJ2" s="1132" t="s">
        <v>177</v>
      </c>
      <c r="AK2" s="1106" t="s">
        <v>178</v>
      </c>
      <c r="AL2" s="1132" t="s">
        <v>178</v>
      </c>
      <c r="AM2" s="1106" t="s">
        <v>179</v>
      </c>
      <c r="AN2" s="1132" t="s">
        <v>179</v>
      </c>
      <c r="AO2" s="1106" t="s">
        <v>180</v>
      </c>
      <c r="AP2" s="1132" t="s">
        <v>180</v>
      </c>
      <c r="AQ2" s="1106" t="s">
        <v>181</v>
      </c>
      <c r="AR2" s="1132" t="s">
        <v>181</v>
      </c>
      <c r="AS2" s="1106" t="s">
        <v>182</v>
      </c>
      <c r="AT2" s="1107" t="s">
        <v>182</v>
      </c>
      <c r="AU2" s="1106" t="s">
        <v>183</v>
      </c>
      <c r="AV2" s="1132" t="s">
        <v>183</v>
      </c>
      <c r="AW2" s="1106" t="s">
        <v>1</v>
      </c>
      <c r="AX2" s="1132" t="s">
        <v>1</v>
      </c>
      <c r="AY2" s="1106" t="s">
        <v>184</v>
      </c>
      <c r="AZ2" s="1132" t="s">
        <v>184</v>
      </c>
      <c r="BA2" s="1106" t="s">
        <v>2</v>
      </c>
      <c r="BB2" s="1107" t="s">
        <v>2</v>
      </c>
    </row>
    <row r="3" spans="1:54" s="531" customFormat="1" ht="15" customHeight="1" thickBot="1">
      <c r="A3" s="1603"/>
      <c r="B3" s="732"/>
      <c r="C3" s="1110" t="s">
        <v>520</v>
      </c>
      <c r="D3" s="1119" t="s">
        <v>377</v>
      </c>
      <c r="E3" s="1110" t="s">
        <v>520</v>
      </c>
      <c r="F3" s="1119" t="s">
        <v>377</v>
      </c>
      <c r="G3" s="1110" t="s">
        <v>520</v>
      </c>
      <c r="H3" s="1119" t="s">
        <v>377</v>
      </c>
      <c r="I3" s="1110" t="s">
        <v>520</v>
      </c>
      <c r="J3" s="1119" t="s">
        <v>377</v>
      </c>
      <c r="K3" s="1110" t="s">
        <v>520</v>
      </c>
      <c r="L3" s="1119" t="s">
        <v>377</v>
      </c>
      <c r="M3" s="1110" t="s">
        <v>520</v>
      </c>
      <c r="N3" s="1119" t="s">
        <v>377</v>
      </c>
      <c r="O3" s="1110" t="s">
        <v>520</v>
      </c>
      <c r="P3" s="1119" t="s">
        <v>377</v>
      </c>
      <c r="Q3" s="1110" t="s">
        <v>520</v>
      </c>
      <c r="R3" s="1119" t="s">
        <v>377</v>
      </c>
      <c r="S3" s="1110" t="s">
        <v>520</v>
      </c>
      <c r="T3" s="1119" t="s">
        <v>377</v>
      </c>
      <c r="U3" s="1110" t="s">
        <v>520</v>
      </c>
      <c r="V3" s="1119" t="s">
        <v>377</v>
      </c>
      <c r="W3" s="1110" t="s">
        <v>520</v>
      </c>
      <c r="X3" s="1119" t="s">
        <v>377</v>
      </c>
      <c r="Y3" s="1110" t="s">
        <v>520</v>
      </c>
      <c r="Z3" s="1119" t="s">
        <v>377</v>
      </c>
      <c r="AA3" s="1110" t="s">
        <v>520</v>
      </c>
      <c r="AB3" s="1119" t="s">
        <v>377</v>
      </c>
      <c r="AC3" s="1110" t="s">
        <v>520</v>
      </c>
      <c r="AD3" s="1119" t="s">
        <v>377</v>
      </c>
      <c r="AE3" s="1110" t="s">
        <v>520</v>
      </c>
      <c r="AF3" s="1119" t="s">
        <v>377</v>
      </c>
      <c r="AG3" s="1110" t="s">
        <v>520</v>
      </c>
      <c r="AH3" s="1119" t="s">
        <v>377</v>
      </c>
      <c r="AI3" s="1110" t="s">
        <v>520</v>
      </c>
      <c r="AJ3" s="1119" t="s">
        <v>377</v>
      </c>
      <c r="AK3" s="1110" t="s">
        <v>520</v>
      </c>
      <c r="AL3" s="1119" t="s">
        <v>377</v>
      </c>
      <c r="AM3" s="1110" t="s">
        <v>520</v>
      </c>
      <c r="AN3" s="1119" t="s">
        <v>377</v>
      </c>
      <c r="AO3" s="1110" t="s">
        <v>520</v>
      </c>
      <c r="AP3" s="1119" t="s">
        <v>377</v>
      </c>
      <c r="AQ3" s="1110" t="s">
        <v>520</v>
      </c>
      <c r="AR3" s="1119" t="s">
        <v>377</v>
      </c>
      <c r="AS3" s="1110" t="s">
        <v>520</v>
      </c>
      <c r="AT3" s="1022" t="s">
        <v>377</v>
      </c>
      <c r="AU3" s="1110" t="s">
        <v>520</v>
      </c>
      <c r="AV3" s="1119" t="s">
        <v>377</v>
      </c>
      <c r="AW3" s="1110" t="s">
        <v>520</v>
      </c>
      <c r="AX3" s="1119" t="s">
        <v>377</v>
      </c>
      <c r="AY3" s="1110" t="s">
        <v>520</v>
      </c>
      <c r="AZ3" s="1119" t="s">
        <v>377</v>
      </c>
      <c r="BA3" s="1110" t="s">
        <v>520</v>
      </c>
      <c r="BB3" s="1022" t="s">
        <v>377</v>
      </c>
    </row>
    <row r="4" spans="1:54" ht="15" customHeight="1">
      <c r="A4" s="494" t="s">
        <v>21</v>
      </c>
      <c r="B4" s="495"/>
      <c r="C4" s="1117"/>
      <c r="D4" s="1120"/>
      <c r="E4" s="1133"/>
      <c r="F4" s="1134"/>
      <c r="G4" s="1108"/>
      <c r="H4" s="1134"/>
      <c r="I4" s="1108"/>
      <c r="J4" s="1134"/>
      <c r="K4" s="1108"/>
      <c r="L4" s="1134"/>
      <c r="M4" s="1108"/>
      <c r="N4" s="1052"/>
      <c r="O4" s="1053"/>
      <c r="P4" s="1134"/>
      <c r="Q4" s="1108"/>
      <c r="R4" s="1134"/>
      <c r="S4" s="1108"/>
      <c r="T4" s="1134"/>
      <c r="U4" s="1108"/>
      <c r="V4" s="1134"/>
      <c r="W4" s="1108"/>
      <c r="X4" s="1134"/>
      <c r="Y4" s="1108"/>
      <c r="Z4" s="1134"/>
      <c r="AA4" s="1108"/>
      <c r="AB4" s="1134"/>
      <c r="AC4" s="1108"/>
      <c r="AD4" s="1134"/>
      <c r="AE4" s="1108"/>
      <c r="AF4" s="1134"/>
      <c r="AG4" s="1108"/>
      <c r="AH4" s="1134"/>
      <c r="AI4" s="1108"/>
      <c r="AJ4" s="1134"/>
      <c r="AK4" s="1108"/>
      <c r="AL4" s="1134"/>
      <c r="AM4" s="1108"/>
      <c r="AN4" s="1134"/>
      <c r="AO4" s="1108"/>
      <c r="AP4" s="1134"/>
      <c r="AQ4" s="1108"/>
      <c r="AR4" s="1134"/>
      <c r="AS4" s="1108"/>
      <c r="AT4" s="1109"/>
      <c r="AU4" s="1108"/>
      <c r="AV4" s="1134"/>
      <c r="AW4" s="1108"/>
      <c r="AX4" s="1134"/>
      <c r="AY4" s="1108"/>
      <c r="AZ4" s="1134"/>
      <c r="BA4" s="1108">
        <f>AW4+AY4</f>
        <v>0</v>
      </c>
      <c r="BB4" s="1109">
        <f>AX4+AZ4</f>
        <v>0</v>
      </c>
    </row>
    <row r="5" spans="1:55" ht="17.25">
      <c r="A5" s="439" t="s">
        <v>22</v>
      </c>
      <c r="B5" s="493" t="s">
        <v>285</v>
      </c>
      <c r="C5" s="1112">
        <v>97752242</v>
      </c>
      <c r="D5" s="1121">
        <v>80099740</v>
      </c>
      <c r="E5" s="1125">
        <v>5260716</v>
      </c>
      <c r="F5" s="1127">
        <v>5757367</v>
      </c>
      <c r="G5" s="1101">
        <v>11652550</v>
      </c>
      <c r="H5" s="1127">
        <v>11936374</v>
      </c>
      <c r="I5" s="1101">
        <v>120248414</v>
      </c>
      <c r="J5" s="1127">
        <v>97525277</v>
      </c>
      <c r="K5" s="1101">
        <v>22808216</v>
      </c>
      <c r="L5" s="1127">
        <v>21872586</v>
      </c>
      <c r="M5" s="1101">
        <v>51160297</v>
      </c>
      <c r="N5" s="1135">
        <v>39428225</v>
      </c>
      <c r="O5" s="1137">
        <v>9936005</v>
      </c>
      <c r="P5" s="1127">
        <v>12280623</v>
      </c>
      <c r="Q5" s="1101">
        <v>12482384</v>
      </c>
      <c r="R5" s="1139">
        <v>10484847</v>
      </c>
      <c r="S5" s="1142">
        <v>33247495</v>
      </c>
      <c r="T5" s="1127">
        <v>32195333</v>
      </c>
      <c r="U5" s="1101">
        <v>13221944</v>
      </c>
      <c r="V5" s="1127">
        <v>14802473</v>
      </c>
      <c r="W5" s="1101">
        <v>385834933</v>
      </c>
      <c r="X5" s="1127">
        <v>327068938</v>
      </c>
      <c r="Y5" s="1101">
        <v>357328245</v>
      </c>
      <c r="Z5" s="1127">
        <v>334307038</v>
      </c>
      <c r="AA5" s="1101">
        <v>19586374</v>
      </c>
      <c r="AB5" s="1144">
        <v>18425145</v>
      </c>
      <c r="AC5" s="1148">
        <v>40555022.56</v>
      </c>
      <c r="AD5" s="1127">
        <v>33604364.29</v>
      </c>
      <c r="AE5" s="1101">
        <v>111002211</v>
      </c>
      <c r="AF5" s="1127">
        <v>103400786</v>
      </c>
      <c r="AG5" s="1101">
        <v>190178968</v>
      </c>
      <c r="AH5" s="1127">
        <v>161836470</v>
      </c>
      <c r="AI5" s="1101"/>
      <c r="AJ5" s="1127">
        <v>55069552</v>
      </c>
      <c r="AK5" s="1101">
        <v>47364506</v>
      </c>
      <c r="AL5" s="1127">
        <v>44409394</v>
      </c>
      <c r="AM5" s="1101"/>
      <c r="AN5" s="1154"/>
      <c r="AO5" s="1156">
        <v>502541681</v>
      </c>
      <c r="AP5" s="1158">
        <v>406347288</v>
      </c>
      <c r="AQ5" s="1162">
        <v>20185332</v>
      </c>
      <c r="AR5" s="1165">
        <v>17290546</v>
      </c>
      <c r="AS5" s="1104">
        <v>29986203</v>
      </c>
      <c r="AT5" s="1319">
        <v>23103591</v>
      </c>
      <c r="AU5" s="1150">
        <v>111050857</v>
      </c>
      <c r="AV5" s="1127">
        <v>83085079</v>
      </c>
      <c r="AW5" s="1101">
        <f>SUM(C5+E5+G5+I5+K5+M5+O5+Q5+S5+U5+W5+Y5+AA5+AC5+AE5+AG5+AI5+AK5+AM5+AO5+AQ5+AS5+AU5)</f>
        <v>2193384595.56</v>
      </c>
      <c r="AX5" s="1127">
        <f>SUM(D5+F5+H5+J5+L5+N5+P5+R5+T5+V5+X5+Z5+AB5+AD5+AF5+AH5+AJ5+AL5+AN5+AP5+AR5+AT5+AV5)</f>
        <v>1934331036.29</v>
      </c>
      <c r="AY5" s="1103">
        <v>4032865548</v>
      </c>
      <c r="AZ5" s="1146">
        <v>3793895990</v>
      </c>
      <c r="BA5" s="1099">
        <f aca="true" t="shared" si="0" ref="BA5:BA60">AW5+AY5</f>
        <v>6226250143.559999</v>
      </c>
      <c r="BB5" s="1100">
        <f aca="true" t="shared" si="1" ref="BB5:BB60">AX5+AZ5</f>
        <v>5728227026.29</v>
      </c>
      <c r="BC5" s="496"/>
    </row>
    <row r="6" spans="1:54" ht="17.25">
      <c r="A6" s="439" t="s">
        <v>286</v>
      </c>
      <c r="B6" s="497"/>
      <c r="C6" s="1111">
        <v>-2929443</v>
      </c>
      <c r="D6" s="1121">
        <v>-2521715</v>
      </c>
      <c r="E6" s="1125">
        <v>-714211</v>
      </c>
      <c r="F6" s="1127">
        <v>-616014</v>
      </c>
      <c r="G6" s="1101">
        <v>-651236</v>
      </c>
      <c r="H6" s="1127">
        <v>-585898</v>
      </c>
      <c r="I6" s="1101">
        <v>-988247</v>
      </c>
      <c r="J6" s="1127">
        <v>-740342</v>
      </c>
      <c r="K6" s="1101">
        <v>-324515</v>
      </c>
      <c r="L6" s="1127">
        <v>-304270</v>
      </c>
      <c r="M6" s="1101">
        <v>-896163</v>
      </c>
      <c r="N6" s="1135">
        <v>-540519</v>
      </c>
      <c r="O6" s="1137">
        <v>-585965</v>
      </c>
      <c r="P6" s="1127">
        <v>-1007554</v>
      </c>
      <c r="Q6" s="1101">
        <v>-358328</v>
      </c>
      <c r="R6" s="224">
        <v>-446038</v>
      </c>
      <c r="S6" s="2">
        <v>-757669</v>
      </c>
      <c r="T6" s="1127">
        <v>-744855</v>
      </c>
      <c r="U6" s="1101">
        <v>-458492</v>
      </c>
      <c r="V6" s="1127">
        <v>-513937</v>
      </c>
      <c r="W6" s="1101">
        <v>-4611952</v>
      </c>
      <c r="X6" s="1127">
        <v>-4832931</v>
      </c>
      <c r="Y6" s="1101">
        <v>-7595108</v>
      </c>
      <c r="Z6" s="1127">
        <v>-5517530</v>
      </c>
      <c r="AA6" s="1101">
        <v>-172539</v>
      </c>
      <c r="AB6" s="1144">
        <v>-161479</v>
      </c>
      <c r="AC6" s="1148">
        <v>-1545616.36</v>
      </c>
      <c r="AD6" s="1127">
        <v>-1151401.9</v>
      </c>
      <c r="AE6" s="1101">
        <v>-1987151</v>
      </c>
      <c r="AF6" s="1127">
        <v>-1423290</v>
      </c>
      <c r="AG6" s="1101">
        <v>-2788662</v>
      </c>
      <c r="AH6" s="1127">
        <v>-2048807</v>
      </c>
      <c r="AI6" s="1101"/>
      <c r="AJ6" s="1127">
        <v>-1588569</v>
      </c>
      <c r="AK6" s="1101">
        <v>-243541</v>
      </c>
      <c r="AL6" s="1127">
        <v>-226339</v>
      </c>
      <c r="AM6" s="1101"/>
      <c r="AN6" s="1154"/>
      <c r="AO6" s="1156">
        <v>-4858891</v>
      </c>
      <c r="AP6" s="1158">
        <v>-3107173</v>
      </c>
      <c r="AQ6" s="1162">
        <v>-54231</v>
      </c>
      <c r="AR6" s="1165">
        <v>-53087</v>
      </c>
      <c r="AS6" s="1104">
        <v>-1116942</v>
      </c>
      <c r="AT6" s="1319">
        <v>-576797</v>
      </c>
      <c r="AU6" s="1150">
        <v>-3258304</v>
      </c>
      <c r="AV6" s="1127">
        <v>-2031370</v>
      </c>
      <c r="AW6" s="1101">
        <f>SUM(C6+E6+G6+I6+K6+M6+O6+Q6+S6+U6+W6+Y6+AA6+AC6+AE6+AG6+AI6+AK6+AM6+AO6+AQ6+AS6+AU6)</f>
        <v>-36897206.36</v>
      </c>
      <c r="AX6" s="1127">
        <f>SUM(D6+F6+H6+J6+L6+N6+P6+R6+T6+V6+X6+Z6+AB6+AD6+AF6+AH6+AJ6+AL6+AN6+AP6+AR6+AT6+AV6)</f>
        <v>-30739915.9</v>
      </c>
      <c r="AY6" s="1103">
        <v>-4422105</v>
      </c>
      <c r="AZ6" s="1146">
        <v>-3270419</v>
      </c>
      <c r="BA6" s="1099">
        <f t="shared" si="0"/>
        <v>-41319311.36</v>
      </c>
      <c r="BB6" s="1100">
        <f t="shared" si="1"/>
        <v>-34010334.9</v>
      </c>
    </row>
    <row r="7" spans="1:54" ht="17.25">
      <c r="A7" s="439" t="s">
        <v>287</v>
      </c>
      <c r="B7" s="497"/>
      <c r="C7" s="1111"/>
      <c r="D7" s="1121"/>
      <c r="E7" s="1125"/>
      <c r="F7" s="1127"/>
      <c r="G7" s="1101"/>
      <c r="H7" s="1127"/>
      <c r="I7" s="1101"/>
      <c r="J7" s="1127"/>
      <c r="K7" s="1101"/>
      <c r="L7" s="1127"/>
      <c r="M7" s="1101"/>
      <c r="N7" s="1135"/>
      <c r="O7" s="1137"/>
      <c r="P7" s="1127"/>
      <c r="Q7" s="1101"/>
      <c r="R7" s="224"/>
      <c r="S7" s="2"/>
      <c r="T7" s="1127"/>
      <c r="U7" s="1101"/>
      <c r="V7" s="1127"/>
      <c r="W7" s="1101"/>
      <c r="X7" s="1127"/>
      <c r="Y7" s="1101">
        <v>584</v>
      </c>
      <c r="Z7" s="1127"/>
      <c r="AA7" s="1101"/>
      <c r="AB7" s="1144"/>
      <c r="AC7" s="1148"/>
      <c r="AD7" s="1127"/>
      <c r="AE7" s="1101"/>
      <c r="AF7" s="1127"/>
      <c r="AG7" s="1101"/>
      <c r="AH7" s="1127"/>
      <c r="AI7" s="1101"/>
      <c r="AJ7" s="1127"/>
      <c r="AK7" s="1101"/>
      <c r="AL7" s="1127"/>
      <c r="AM7" s="1101"/>
      <c r="AN7" s="1154"/>
      <c r="AO7" s="1156"/>
      <c r="AP7" s="1159"/>
      <c r="AQ7" s="1111"/>
      <c r="AR7" s="1165"/>
      <c r="AS7" s="1104"/>
      <c r="AT7" s="1319"/>
      <c r="AU7" s="1150"/>
      <c r="AV7" s="1127"/>
      <c r="AW7" s="1101">
        <f aca="true" t="shared" si="2" ref="AW7:AW60">SUM(C7+E7+G7+I7+K7+M7+O7+Q7+S7+U7+W7+Y7+AA7+AC7+AE7+AG7+AI7+AK7+AM7+AO7+AQ7+AS7+AU7)</f>
        <v>584</v>
      </c>
      <c r="AX7" s="1127">
        <f aca="true" t="shared" si="3" ref="AX7:AX60">SUM(D7+F7+H7+J7+L7+N7+P7+R7+T7+V7+X7+Z7+AB7+AD7+AF7+AH7+AJ7+AL7+AN7+AP7+AR7+AT7+AV7)</f>
        <v>0</v>
      </c>
      <c r="AY7" s="1103"/>
      <c r="AZ7" s="1146"/>
      <c r="BA7" s="1099">
        <f t="shared" si="0"/>
        <v>584</v>
      </c>
      <c r="BB7" s="1100">
        <f t="shared" si="1"/>
        <v>0</v>
      </c>
    </row>
    <row r="8" spans="1:54" s="1041" customFormat="1" ht="18">
      <c r="A8" s="493" t="s">
        <v>288</v>
      </c>
      <c r="B8" s="1040"/>
      <c r="C8" s="1113">
        <f>SUM(C5:C7)</f>
        <v>94822799</v>
      </c>
      <c r="D8" s="1122">
        <f>SUM(D5:D7)</f>
        <v>77578025</v>
      </c>
      <c r="E8" s="1102">
        <f>SUM(E5:E7)</f>
        <v>4546505</v>
      </c>
      <c r="F8" s="1122">
        <f aca="true" t="shared" si="4" ref="F8:AZ8">SUM(F5:F7)</f>
        <v>5141353</v>
      </c>
      <c r="G8" s="1102">
        <f>SUM(G5:G7)</f>
        <v>11001314</v>
      </c>
      <c r="H8" s="1122">
        <f t="shared" si="4"/>
        <v>11350476</v>
      </c>
      <c r="I8" s="1102">
        <f>SUM(I5:I7)</f>
        <v>119260167</v>
      </c>
      <c r="J8" s="1122">
        <f t="shared" si="4"/>
        <v>96784935</v>
      </c>
      <c r="K8" s="1102">
        <f>SUM(K5:K7)</f>
        <v>22483701</v>
      </c>
      <c r="L8" s="1122">
        <f t="shared" si="4"/>
        <v>21568316</v>
      </c>
      <c r="M8" s="1102">
        <f>SUM(M5:M7)</f>
        <v>50264134</v>
      </c>
      <c r="N8" s="1122">
        <f t="shared" si="4"/>
        <v>38887706</v>
      </c>
      <c r="O8" s="1102">
        <f>SUM(O5:O7)</f>
        <v>9350040</v>
      </c>
      <c r="P8" s="1122">
        <f t="shared" si="4"/>
        <v>11273069</v>
      </c>
      <c r="Q8" s="1102">
        <f>SUM(Q5:Q7)</f>
        <v>12124056</v>
      </c>
      <c r="R8" s="1122">
        <f t="shared" si="4"/>
        <v>10038809</v>
      </c>
      <c r="S8" s="1102">
        <f>SUM(S5:S7)</f>
        <v>32489826</v>
      </c>
      <c r="T8" s="1122">
        <f t="shared" si="4"/>
        <v>31450478</v>
      </c>
      <c r="U8" s="1102">
        <f>SUM(U5:U7)</f>
        <v>12763452</v>
      </c>
      <c r="V8" s="1122">
        <f t="shared" si="4"/>
        <v>14288536</v>
      </c>
      <c r="W8" s="1102">
        <f>SUM(W5:W7)</f>
        <v>381222981</v>
      </c>
      <c r="X8" s="1122">
        <f t="shared" si="4"/>
        <v>322236007</v>
      </c>
      <c r="Y8" s="1102">
        <f>SUM(Y5:Y7)</f>
        <v>349733721</v>
      </c>
      <c r="Z8" s="1122">
        <f t="shared" si="4"/>
        <v>328789508</v>
      </c>
      <c r="AA8" s="1102">
        <f>SUM(AA5:AA7)</f>
        <v>19413835</v>
      </c>
      <c r="AB8" s="1122">
        <f t="shared" si="4"/>
        <v>18263666</v>
      </c>
      <c r="AC8" s="1102">
        <f>SUM(AC5:AC7)</f>
        <v>39009406.2</v>
      </c>
      <c r="AD8" s="1122">
        <f t="shared" si="4"/>
        <v>32452962.39</v>
      </c>
      <c r="AE8" s="1102">
        <f>SUM(AE5:AE7)</f>
        <v>109015060</v>
      </c>
      <c r="AF8" s="1122">
        <f t="shared" si="4"/>
        <v>101977496</v>
      </c>
      <c r="AG8" s="1102">
        <f>SUM(AG5:AG7)</f>
        <v>187390306</v>
      </c>
      <c r="AH8" s="1122">
        <f t="shared" si="4"/>
        <v>159787663</v>
      </c>
      <c r="AI8" s="1102">
        <f>SUM(AI5:AI7)</f>
        <v>0</v>
      </c>
      <c r="AJ8" s="1122">
        <f t="shared" si="4"/>
        <v>53480983</v>
      </c>
      <c r="AK8" s="1102">
        <f>SUM(AK5:AK7)</f>
        <v>47120965</v>
      </c>
      <c r="AL8" s="1122">
        <f t="shared" si="4"/>
        <v>44183055</v>
      </c>
      <c r="AM8" s="1102">
        <f>SUM(AM5:AM7)</f>
        <v>0</v>
      </c>
      <c r="AN8" s="1122">
        <f t="shared" si="4"/>
        <v>0</v>
      </c>
      <c r="AO8" s="1102">
        <f>SUM(AO5:AO7)</f>
        <v>497682790</v>
      </c>
      <c r="AP8" s="1122">
        <f t="shared" si="4"/>
        <v>403240115</v>
      </c>
      <c r="AQ8" s="1102">
        <f t="shared" si="4"/>
        <v>20131101</v>
      </c>
      <c r="AR8" s="1122">
        <f t="shared" si="4"/>
        <v>17237459</v>
      </c>
      <c r="AS8" s="1102">
        <f t="shared" si="4"/>
        <v>28869261</v>
      </c>
      <c r="AT8" s="1320">
        <f t="shared" si="4"/>
        <v>22526794</v>
      </c>
      <c r="AU8" s="1102">
        <f t="shared" si="4"/>
        <v>107792553</v>
      </c>
      <c r="AV8" s="1122">
        <f t="shared" si="4"/>
        <v>81053709</v>
      </c>
      <c r="AW8" s="1101">
        <f t="shared" si="2"/>
        <v>2156487973.2</v>
      </c>
      <c r="AX8" s="1127">
        <f t="shared" si="3"/>
        <v>1903591120.3899999</v>
      </c>
      <c r="AY8" s="84">
        <f t="shared" si="4"/>
        <v>4028443443</v>
      </c>
      <c r="AZ8" s="1168">
        <f t="shared" si="4"/>
        <v>3790625571</v>
      </c>
      <c r="BA8" s="1099">
        <f t="shared" si="0"/>
        <v>6184931416.2</v>
      </c>
      <c r="BB8" s="1100">
        <f t="shared" si="1"/>
        <v>5694216691.389999</v>
      </c>
    </row>
    <row r="9" spans="1:54" ht="17.25">
      <c r="A9" s="493" t="s">
        <v>289</v>
      </c>
      <c r="B9" s="497"/>
      <c r="C9" s="1111"/>
      <c r="D9" s="1123"/>
      <c r="E9" s="1126"/>
      <c r="F9" s="1128"/>
      <c r="G9" s="1103"/>
      <c r="H9" s="1128"/>
      <c r="I9" s="1103"/>
      <c r="J9" s="1128"/>
      <c r="K9" s="1103"/>
      <c r="L9" s="1128"/>
      <c r="M9" s="1103"/>
      <c r="N9" s="1136"/>
      <c r="O9" s="1138"/>
      <c r="P9" s="1128"/>
      <c r="Q9" s="1103"/>
      <c r="R9" s="99"/>
      <c r="S9" s="7"/>
      <c r="T9" s="1128"/>
      <c r="U9" s="1103"/>
      <c r="V9" s="1128"/>
      <c r="W9" s="1103"/>
      <c r="X9" s="1128"/>
      <c r="Y9" s="1103"/>
      <c r="Z9" s="1128"/>
      <c r="AA9" s="1103"/>
      <c r="AB9" s="1144"/>
      <c r="AC9" s="1148"/>
      <c r="AD9" s="1128"/>
      <c r="AE9" s="1103"/>
      <c r="AF9" s="1152"/>
      <c r="AG9" s="1153"/>
      <c r="AH9" s="1128"/>
      <c r="AI9" s="1103"/>
      <c r="AJ9" s="1128"/>
      <c r="AK9" s="1103"/>
      <c r="AL9" s="1128"/>
      <c r="AM9" s="1103"/>
      <c r="AN9" s="1154"/>
      <c r="AO9" s="1156"/>
      <c r="AP9" s="1159"/>
      <c r="AQ9" s="1111"/>
      <c r="AR9" s="1165"/>
      <c r="AS9" s="1104"/>
      <c r="AT9" s="1319"/>
      <c r="AU9" s="1150"/>
      <c r="AV9" s="1128"/>
      <c r="AW9" s="1101">
        <f t="shared" si="2"/>
        <v>0</v>
      </c>
      <c r="AX9" s="1127">
        <f t="shared" si="3"/>
        <v>0</v>
      </c>
      <c r="AY9" s="1103"/>
      <c r="AZ9" s="1128"/>
      <c r="BA9" s="1099">
        <f t="shared" si="0"/>
        <v>0</v>
      </c>
      <c r="BB9" s="1100">
        <f t="shared" si="1"/>
        <v>0</v>
      </c>
    </row>
    <row r="10" spans="1:54" ht="17.25">
      <c r="A10" s="439" t="s">
        <v>290</v>
      </c>
      <c r="B10" s="497"/>
      <c r="C10" s="1111">
        <v>25912560</v>
      </c>
      <c r="D10" s="1121">
        <v>23670458</v>
      </c>
      <c r="E10" s="1125">
        <v>1443768</v>
      </c>
      <c r="F10" s="1127">
        <v>1394065</v>
      </c>
      <c r="G10" s="1101">
        <v>5794882</v>
      </c>
      <c r="H10" s="1127">
        <v>5676883</v>
      </c>
      <c r="I10" s="1101">
        <v>26437904</v>
      </c>
      <c r="J10" s="1127">
        <v>24100423</v>
      </c>
      <c r="K10" s="1101">
        <v>5078759</v>
      </c>
      <c r="L10" s="1127">
        <v>4155285</v>
      </c>
      <c r="M10" s="1101">
        <v>8623672</v>
      </c>
      <c r="N10" s="1135">
        <v>7269160</v>
      </c>
      <c r="O10" s="1137">
        <v>3141750</v>
      </c>
      <c r="P10" s="1127">
        <v>2805669</v>
      </c>
      <c r="Q10" s="1101">
        <v>2221564</v>
      </c>
      <c r="R10" s="224">
        <v>1557797</v>
      </c>
      <c r="S10" s="2">
        <v>10696012</v>
      </c>
      <c r="T10" s="1127">
        <v>9498401</v>
      </c>
      <c r="U10" s="1101">
        <v>3015154</v>
      </c>
      <c r="V10" s="1127">
        <v>2716695</v>
      </c>
      <c r="W10" s="1101">
        <v>78611535</v>
      </c>
      <c r="X10" s="1127">
        <v>68453166</v>
      </c>
      <c r="Y10" s="1101">
        <v>67230073</v>
      </c>
      <c r="Z10" s="1127">
        <v>60768824</v>
      </c>
      <c r="AA10" s="1101">
        <v>6343583</v>
      </c>
      <c r="AB10" s="1127">
        <v>5671885</v>
      </c>
      <c r="AC10" s="1101">
        <v>8783057.99</v>
      </c>
      <c r="AD10" s="1127">
        <v>8294493.58</v>
      </c>
      <c r="AE10" s="1101">
        <f>20709758</f>
        <v>20709758</v>
      </c>
      <c r="AF10" s="1127">
        <f>17432483-2960</f>
        <v>17429523</v>
      </c>
      <c r="AG10" s="1101">
        <v>44366625</v>
      </c>
      <c r="AH10" s="1127">
        <v>39125521</v>
      </c>
      <c r="AI10" s="1101"/>
      <c r="AJ10" s="1127">
        <v>12837962</v>
      </c>
      <c r="AK10" s="1101">
        <v>12781145</v>
      </c>
      <c r="AL10" s="1127">
        <v>11622532</v>
      </c>
      <c r="AM10" s="1101"/>
      <c r="AN10" s="1154"/>
      <c r="AO10" s="1156">
        <v>97448265</v>
      </c>
      <c r="AP10" s="1158">
        <v>89180989</v>
      </c>
      <c r="AQ10" s="1162">
        <v>3378201</v>
      </c>
      <c r="AR10" s="1165">
        <v>2743707</v>
      </c>
      <c r="AS10" s="1104">
        <v>6194355</v>
      </c>
      <c r="AT10" s="1319">
        <v>5461250</v>
      </c>
      <c r="AU10" s="1150">
        <v>16025669</v>
      </c>
      <c r="AV10" s="1128">
        <v>13474638</v>
      </c>
      <c r="AW10" s="1101">
        <f t="shared" si="2"/>
        <v>454238291.99</v>
      </c>
      <c r="AX10" s="1127">
        <f t="shared" si="3"/>
        <v>417909326.58000004</v>
      </c>
      <c r="AY10" s="1103">
        <v>2344614073</v>
      </c>
      <c r="AZ10" s="1146">
        <v>2157849591</v>
      </c>
      <c r="BA10" s="1099">
        <f t="shared" si="0"/>
        <v>2798852364.99</v>
      </c>
      <c r="BB10" s="1100">
        <f t="shared" si="1"/>
        <v>2575758917.58</v>
      </c>
    </row>
    <row r="11" spans="1:54" ht="17.25">
      <c r="A11" s="439" t="s">
        <v>291</v>
      </c>
      <c r="B11" s="497"/>
      <c r="C11" s="1111">
        <v>22902652</v>
      </c>
      <c r="D11" s="1121">
        <v>13080511</v>
      </c>
      <c r="E11" s="1125">
        <v>1754961</v>
      </c>
      <c r="F11" s="1127">
        <v>861844</v>
      </c>
      <c r="G11" s="1101">
        <v>4285689</v>
      </c>
      <c r="H11" s="1127">
        <v>3256147</v>
      </c>
      <c r="I11" s="1101">
        <v>34226354</v>
      </c>
      <c r="J11" s="1127">
        <v>22419003</v>
      </c>
      <c r="K11" s="1101">
        <v>2686355</v>
      </c>
      <c r="L11" s="1127">
        <v>2094640</v>
      </c>
      <c r="M11" s="1101">
        <v>12804800</v>
      </c>
      <c r="N11" s="1135">
        <v>7459697</v>
      </c>
      <c r="O11" s="1137">
        <v>1061273</v>
      </c>
      <c r="P11" s="1127">
        <v>1119389</v>
      </c>
      <c r="Q11" s="1101">
        <v>2143786</v>
      </c>
      <c r="R11" s="224">
        <v>1257552</v>
      </c>
      <c r="S11" s="2">
        <v>1620348</v>
      </c>
      <c r="T11" s="1127">
        <v>3139148</v>
      </c>
      <c r="U11" s="1101">
        <v>1482744</v>
      </c>
      <c r="V11" s="1127">
        <v>734912</v>
      </c>
      <c r="W11" s="1101">
        <v>66057498</v>
      </c>
      <c r="X11" s="1127">
        <v>48441127</v>
      </c>
      <c r="Y11" s="1101">
        <v>128312189</v>
      </c>
      <c r="Z11" s="1127">
        <v>76969515</v>
      </c>
      <c r="AA11" s="1101">
        <v>1933757</v>
      </c>
      <c r="AB11" s="1127">
        <v>2184481</v>
      </c>
      <c r="AC11" s="1101">
        <v>6412758.91</v>
      </c>
      <c r="AD11" s="1127">
        <v>3457516.82</v>
      </c>
      <c r="AE11" s="1101">
        <v>-184708</v>
      </c>
      <c r="AF11" s="1127">
        <v>14053020</v>
      </c>
      <c r="AG11" s="1101">
        <v>55720434</v>
      </c>
      <c r="AH11" s="1127">
        <v>22735700</v>
      </c>
      <c r="AI11" s="1101"/>
      <c r="AJ11" s="1127">
        <v>5280047</v>
      </c>
      <c r="AK11" s="1101">
        <v>5737142</v>
      </c>
      <c r="AL11" s="1127">
        <v>6998530</v>
      </c>
      <c r="AM11" s="1101"/>
      <c r="AN11" s="1154"/>
      <c r="AO11" s="1156">
        <v>82270453</v>
      </c>
      <c r="AP11" s="1158">
        <v>41159972</v>
      </c>
      <c r="AQ11" s="1162">
        <v>1020482</v>
      </c>
      <c r="AR11" s="1165">
        <v>917312</v>
      </c>
      <c r="AS11" s="1104">
        <v>5760327</v>
      </c>
      <c r="AT11" s="1319">
        <v>4110939</v>
      </c>
      <c r="AU11" s="1150">
        <v>1715144</v>
      </c>
      <c r="AV11" s="1127">
        <v>1159672</v>
      </c>
      <c r="AW11" s="1101">
        <f t="shared" si="2"/>
        <v>439724438.91</v>
      </c>
      <c r="AX11" s="1127">
        <f t="shared" si="3"/>
        <v>282890674.82</v>
      </c>
      <c r="AY11" s="1103">
        <v>445348277</v>
      </c>
      <c r="AZ11" s="1146">
        <v>303731034</v>
      </c>
      <c r="BA11" s="1099">
        <f t="shared" si="0"/>
        <v>885072715.9100001</v>
      </c>
      <c r="BB11" s="1100">
        <f t="shared" si="1"/>
        <v>586621708.8199999</v>
      </c>
    </row>
    <row r="12" spans="1:54" ht="17.25">
      <c r="A12" s="439" t="s">
        <v>292</v>
      </c>
      <c r="B12" s="497"/>
      <c r="C12" s="1111">
        <v>-7029967</v>
      </c>
      <c r="D12" s="1121">
        <v>-6950631</v>
      </c>
      <c r="E12" s="1125">
        <v>-499065</v>
      </c>
      <c r="F12" s="1127">
        <v>-794059</v>
      </c>
      <c r="G12" s="1101">
        <v>-2168206</v>
      </c>
      <c r="H12" s="1127">
        <v>-1541080</v>
      </c>
      <c r="I12" s="1101">
        <v>-11619619</v>
      </c>
      <c r="J12" s="1127">
        <v>-12710319</v>
      </c>
      <c r="K12" s="1101">
        <v>-724947</v>
      </c>
      <c r="L12" s="1127">
        <v>-578690</v>
      </c>
      <c r="M12" s="1101">
        <v>-5781888</v>
      </c>
      <c r="N12" s="1135">
        <v>-8267756</v>
      </c>
      <c r="O12" s="1137">
        <v>-124590</v>
      </c>
      <c r="P12" s="1127">
        <v>-77928</v>
      </c>
      <c r="Q12" s="1101">
        <v>-1004658</v>
      </c>
      <c r="R12" s="224">
        <v>-666636</v>
      </c>
      <c r="S12" s="2">
        <v>-360578</v>
      </c>
      <c r="T12" s="1127">
        <v>-1309193</v>
      </c>
      <c r="U12" s="1101">
        <v>-299525</v>
      </c>
      <c r="V12" s="1127">
        <v>-256837</v>
      </c>
      <c r="W12" s="1101">
        <v>-18761065</v>
      </c>
      <c r="X12" s="1127">
        <v>-23379304</v>
      </c>
      <c r="Y12" s="1101">
        <v>-53121197</v>
      </c>
      <c r="Z12" s="1127">
        <v>-50651215</v>
      </c>
      <c r="AA12" s="1101">
        <v>-1843255</v>
      </c>
      <c r="AB12" s="1127">
        <v>-2570475</v>
      </c>
      <c r="AC12" s="1101">
        <v>-2489991.22</v>
      </c>
      <c r="AD12" s="1127">
        <v>-1138282.27</v>
      </c>
      <c r="AE12" s="1101">
        <v>20525053</v>
      </c>
      <c r="AF12" s="1127">
        <v>-7111665</v>
      </c>
      <c r="AG12" s="1101">
        <v>-13397957</v>
      </c>
      <c r="AH12" s="1127">
        <v>-8434888</v>
      </c>
      <c r="AI12" s="1101"/>
      <c r="AJ12" s="1127">
        <v>-2376989</v>
      </c>
      <c r="AK12" s="1101">
        <v>-2040475</v>
      </c>
      <c r="AL12" s="1127">
        <v>-2804699</v>
      </c>
      <c r="AM12" s="1101"/>
      <c r="AN12" s="1154"/>
      <c r="AO12" s="1156">
        <v>-20250515</v>
      </c>
      <c r="AP12" s="1158">
        <v>-20162330</v>
      </c>
      <c r="AQ12" s="1162">
        <v>-349884</v>
      </c>
      <c r="AR12" s="1165">
        <v>-603433</v>
      </c>
      <c r="AS12" s="1104">
        <v>-1631749</v>
      </c>
      <c r="AT12" s="1319">
        <v>-1084324</v>
      </c>
      <c r="AU12" s="1150">
        <v>19676456</v>
      </c>
      <c r="AV12" s="1127">
        <v>12742913</v>
      </c>
      <c r="AW12" s="1101">
        <f t="shared" si="2"/>
        <v>-103297622.22</v>
      </c>
      <c r="AX12" s="1127">
        <f t="shared" si="3"/>
        <v>-140727820.26999998</v>
      </c>
      <c r="AY12" s="1103">
        <v>-63060747</v>
      </c>
      <c r="AZ12" s="1146">
        <v>-119768650</v>
      </c>
      <c r="BA12" s="1099">
        <f t="shared" si="0"/>
        <v>-166358369.22</v>
      </c>
      <c r="BB12" s="1100">
        <f t="shared" si="1"/>
        <v>-260496470.26999998</v>
      </c>
    </row>
    <row r="13" spans="1:54" ht="17.25">
      <c r="A13" s="439" t="s">
        <v>293</v>
      </c>
      <c r="B13" s="497"/>
      <c r="C13" s="1111">
        <v>35716858</v>
      </c>
      <c r="D13" s="1121">
        <v>-25817688</v>
      </c>
      <c r="E13" s="1125">
        <v>1889429</v>
      </c>
      <c r="F13" s="1127">
        <v>-1373179</v>
      </c>
      <c r="G13" s="1101">
        <v>9161234</v>
      </c>
      <c r="H13" s="1127">
        <v>-7747323</v>
      </c>
      <c r="I13" s="1101">
        <v>64948740</v>
      </c>
      <c r="J13" s="1127">
        <v>-42008904</v>
      </c>
      <c r="K13" s="1101">
        <v>3273968</v>
      </c>
      <c r="L13" s="1127">
        <v>-2333089</v>
      </c>
      <c r="M13" s="1101">
        <v>25454349</v>
      </c>
      <c r="N13" s="1135">
        <v>-15612378</v>
      </c>
      <c r="O13" s="1137">
        <v>852808</v>
      </c>
      <c r="P13" s="1127">
        <v>-618243</v>
      </c>
      <c r="Q13" s="1101">
        <v>2745337</v>
      </c>
      <c r="R13" s="224">
        <v>-1605701</v>
      </c>
      <c r="S13" s="2">
        <v>4647547</v>
      </c>
      <c r="T13" s="1127">
        <v>-2862659</v>
      </c>
      <c r="U13" s="1101">
        <v>733916</v>
      </c>
      <c r="V13" s="1127">
        <v>-838033</v>
      </c>
      <c r="W13" s="1101">
        <v>200867693</v>
      </c>
      <c r="X13" s="1127">
        <v>-126623711</v>
      </c>
      <c r="Y13" s="1101">
        <v>326964673</v>
      </c>
      <c r="Z13" s="1127">
        <v>-219873110</v>
      </c>
      <c r="AA13" s="1101">
        <v>8572094</v>
      </c>
      <c r="AB13" s="1127">
        <v>-3750619</v>
      </c>
      <c r="AC13" s="1101">
        <v>11775021.91</v>
      </c>
      <c r="AD13" s="1127">
        <v>-8778883.66</v>
      </c>
      <c r="AE13" s="1101">
        <v>13173622</v>
      </c>
      <c r="AF13" s="1127">
        <v>-22052443</v>
      </c>
      <c r="AG13" s="1101">
        <v>34966863</v>
      </c>
      <c r="AH13" s="1127">
        <v>-31837236</v>
      </c>
      <c r="AI13" s="1101"/>
      <c r="AJ13" s="1127">
        <v>-12645255</v>
      </c>
      <c r="AK13" s="1101">
        <v>14372316</v>
      </c>
      <c r="AL13" s="1127">
        <v>-11301920</v>
      </c>
      <c r="AM13" s="1101"/>
      <c r="AN13" s="1154"/>
      <c r="AO13" s="1156">
        <v>155091928</v>
      </c>
      <c r="AP13" s="1158">
        <v>-80210755</v>
      </c>
      <c r="AQ13" s="1162"/>
      <c r="AR13" s="1165"/>
      <c r="AS13" s="1104"/>
      <c r="AT13" s="1319"/>
      <c r="AU13" s="1150">
        <v>-3055128</v>
      </c>
      <c r="AV13" s="1127">
        <v>-9098349</v>
      </c>
      <c r="AW13" s="1101">
        <f t="shared" si="2"/>
        <v>912153268.91</v>
      </c>
      <c r="AX13" s="1127">
        <f t="shared" si="3"/>
        <v>-626989478.6600001</v>
      </c>
      <c r="AY13" s="1103">
        <v>60709845</v>
      </c>
      <c r="AZ13" s="1146">
        <v>11640906</v>
      </c>
      <c r="BA13" s="1099">
        <f t="shared" si="0"/>
        <v>972863113.91</v>
      </c>
      <c r="BB13" s="1100">
        <f t="shared" si="1"/>
        <v>-615348572.6600001</v>
      </c>
    </row>
    <row r="14" spans="1:54" ht="17.25">
      <c r="A14" s="439" t="s">
        <v>294</v>
      </c>
      <c r="B14" s="497"/>
      <c r="C14" s="1111"/>
      <c r="D14" s="1123"/>
      <c r="E14" s="1126">
        <v>196112</v>
      </c>
      <c r="F14" s="1128">
        <v>136534</v>
      </c>
      <c r="G14" s="1103"/>
      <c r="H14" s="1128"/>
      <c r="I14" s="1103">
        <v>932460</v>
      </c>
      <c r="J14" s="1128">
        <v>2662441</v>
      </c>
      <c r="K14" s="1103"/>
      <c r="L14" s="1128"/>
      <c r="M14" s="1103"/>
      <c r="N14" s="1136"/>
      <c r="O14" s="1138">
        <v>-93721</v>
      </c>
      <c r="P14" s="1128">
        <v>-62917</v>
      </c>
      <c r="Q14" s="1103"/>
      <c r="R14" s="99"/>
      <c r="S14" s="7"/>
      <c r="T14" s="1128"/>
      <c r="U14" s="1103"/>
      <c r="V14" s="1128"/>
      <c r="W14" s="1103"/>
      <c r="X14" s="1128"/>
      <c r="Y14" s="1103">
        <v>4990019</v>
      </c>
      <c r="Z14" s="1128">
        <v>7617365</v>
      </c>
      <c r="AA14" s="1103">
        <v>125744</v>
      </c>
      <c r="AB14" s="1144">
        <v>298267</v>
      </c>
      <c r="AC14" s="1148">
        <v>-106913.57</v>
      </c>
      <c r="AD14" s="1128">
        <v>474527.6</v>
      </c>
      <c r="AE14" s="1103">
        <v>-4163797</v>
      </c>
      <c r="AF14" s="1152"/>
      <c r="AG14" s="1153"/>
      <c r="AH14" s="1128"/>
      <c r="AI14" s="1103"/>
      <c r="AJ14" s="1128">
        <v>535711</v>
      </c>
      <c r="AK14" s="1103">
        <v>359231</v>
      </c>
      <c r="AL14" s="1128">
        <v>875383</v>
      </c>
      <c r="AM14" s="1103"/>
      <c r="AN14" s="1154"/>
      <c r="AO14" s="1156"/>
      <c r="AP14" s="1158"/>
      <c r="AQ14" s="1162">
        <v>-82883</v>
      </c>
      <c r="AR14" s="1165">
        <v>-9063</v>
      </c>
      <c r="AS14" s="1104"/>
      <c r="AT14" s="1319"/>
      <c r="AU14" s="1150">
        <v>51513859</v>
      </c>
      <c r="AV14" s="1128">
        <v>-17774452</v>
      </c>
      <c r="AW14" s="1101">
        <f t="shared" si="2"/>
        <v>53670110.43</v>
      </c>
      <c r="AX14" s="1127">
        <f t="shared" si="3"/>
        <v>-5246203.4</v>
      </c>
      <c r="AY14" s="1103"/>
      <c r="AZ14" s="1128"/>
      <c r="BA14" s="1099">
        <f t="shared" si="0"/>
        <v>53670110.43</v>
      </c>
      <c r="BB14" s="1100">
        <f t="shared" si="1"/>
        <v>-5246203.4</v>
      </c>
    </row>
    <row r="15" spans="1:54" ht="17.25">
      <c r="A15" s="439" t="s">
        <v>366</v>
      </c>
      <c r="B15" s="497"/>
      <c r="C15" s="1111"/>
      <c r="D15" s="1123"/>
      <c r="E15" s="1126"/>
      <c r="F15" s="1128"/>
      <c r="G15" s="1103"/>
      <c r="H15" s="1128"/>
      <c r="I15" s="1103"/>
      <c r="J15" s="1128"/>
      <c r="K15" s="1103"/>
      <c r="L15" s="1128"/>
      <c r="M15" s="1103"/>
      <c r="N15" s="1136"/>
      <c r="O15" s="1138"/>
      <c r="P15" s="1128"/>
      <c r="Q15" s="1103"/>
      <c r="R15" s="99"/>
      <c r="S15" s="7"/>
      <c r="T15" s="1128"/>
      <c r="U15" s="1103"/>
      <c r="V15" s="1128"/>
      <c r="W15" s="1103"/>
      <c r="X15" s="1128"/>
      <c r="Y15" s="1103"/>
      <c r="Z15" s="1128"/>
      <c r="AA15" s="1103"/>
      <c r="AB15" s="1144"/>
      <c r="AC15" s="1148"/>
      <c r="AD15" s="1128"/>
      <c r="AE15" s="1103">
        <v>35904812</v>
      </c>
      <c r="AF15" s="1152"/>
      <c r="AG15" s="1153"/>
      <c r="AH15" s="1128"/>
      <c r="AI15" s="1103"/>
      <c r="AJ15" s="1128"/>
      <c r="AK15" s="1103"/>
      <c r="AL15" s="1128"/>
      <c r="AM15" s="1103"/>
      <c r="AN15" s="1154"/>
      <c r="AO15" s="1156"/>
      <c r="AP15" s="1158"/>
      <c r="AQ15" s="1162">
        <v>1072198</v>
      </c>
      <c r="AR15" s="1165">
        <v>-656243</v>
      </c>
      <c r="AS15" s="1104">
        <v>3697028</v>
      </c>
      <c r="AT15" s="1319">
        <v>-5187236</v>
      </c>
      <c r="AU15" s="1150"/>
      <c r="AV15" s="1128"/>
      <c r="AW15" s="1101">
        <f t="shared" si="2"/>
        <v>40674038</v>
      </c>
      <c r="AX15" s="1127">
        <f t="shared" si="3"/>
        <v>-5843479</v>
      </c>
      <c r="AY15" s="1103"/>
      <c r="AZ15" s="1128"/>
      <c r="BA15" s="1099">
        <f t="shared" si="0"/>
        <v>40674038</v>
      </c>
      <c r="BB15" s="1100">
        <f t="shared" si="1"/>
        <v>-5843479</v>
      </c>
    </row>
    <row r="16" spans="1:54" ht="17.25">
      <c r="A16" s="493" t="s">
        <v>295</v>
      </c>
      <c r="B16" s="497"/>
      <c r="C16" s="1111"/>
      <c r="D16" s="1121"/>
      <c r="E16" s="1125"/>
      <c r="F16" s="1127"/>
      <c r="G16" s="1101"/>
      <c r="H16" s="1127"/>
      <c r="I16" s="1101"/>
      <c r="J16" s="1127"/>
      <c r="K16" s="1101"/>
      <c r="L16" s="1127"/>
      <c r="M16" s="1101"/>
      <c r="N16" s="1135"/>
      <c r="O16" s="1137"/>
      <c r="P16" s="1127"/>
      <c r="Q16" s="1101"/>
      <c r="R16" s="224"/>
      <c r="S16" s="2"/>
      <c r="T16" s="1127"/>
      <c r="U16" s="1101"/>
      <c r="V16" s="1127"/>
      <c r="W16" s="1101"/>
      <c r="X16" s="1127"/>
      <c r="Y16" s="1101"/>
      <c r="Z16" s="1127"/>
      <c r="AA16" s="1101"/>
      <c r="AB16" s="1144"/>
      <c r="AC16" s="1148"/>
      <c r="AD16" s="1127"/>
      <c r="AE16" s="1101"/>
      <c r="AF16" s="1127"/>
      <c r="AG16" s="1101"/>
      <c r="AH16" s="1127"/>
      <c r="AI16" s="1101"/>
      <c r="AJ16" s="1127"/>
      <c r="AK16" s="1101"/>
      <c r="AL16" s="1127"/>
      <c r="AM16" s="1101"/>
      <c r="AN16" s="1154"/>
      <c r="AO16" s="1156"/>
      <c r="AP16" s="1159"/>
      <c r="AQ16" s="1111"/>
      <c r="AR16" s="1165"/>
      <c r="AS16" s="1104"/>
      <c r="AT16" s="1319"/>
      <c r="AU16" s="1150"/>
      <c r="AV16" s="1127"/>
      <c r="AW16" s="1101">
        <f t="shared" si="2"/>
        <v>0</v>
      </c>
      <c r="AX16" s="1127">
        <f t="shared" si="3"/>
        <v>0</v>
      </c>
      <c r="AY16" s="1103"/>
      <c r="AZ16" s="1127"/>
      <c r="BA16" s="1099">
        <f t="shared" si="0"/>
        <v>0</v>
      </c>
      <c r="BB16" s="1100">
        <f t="shared" si="1"/>
        <v>0</v>
      </c>
    </row>
    <row r="17" spans="1:54" ht="17.25">
      <c r="A17" s="439" t="s">
        <v>296</v>
      </c>
      <c r="B17" s="497"/>
      <c r="C17" s="1111">
        <v>1471331</v>
      </c>
      <c r="D17" s="1121">
        <v>1832020</v>
      </c>
      <c r="E17" s="1125">
        <v>733906</v>
      </c>
      <c r="F17" s="1127">
        <v>799926</v>
      </c>
      <c r="G17" s="1101">
        <f>10423+490023+519403</f>
        <v>1019849</v>
      </c>
      <c r="H17" s="1127">
        <f>10814+753904</f>
        <v>764718</v>
      </c>
      <c r="I17" s="1101">
        <f>4982481+1152056</f>
        <v>6134537</v>
      </c>
      <c r="J17" s="1127">
        <f>289183+1462100</f>
        <v>1751283</v>
      </c>
      <c r="K17" s="1101">
        <v>2004007</v>
      </c>
      <c r="L17" s="1127">
        <v>2872984</v>
      </c>
      <c r="M17" s="1101">
        <f>1785000+37502</f>
        <v>1822502</v>
      </c>
      <c r="N17" s="1135">
        <v>729366</v>
      </c>
      <c r="O17" s="1137">
        <v>83212</v>
      </c>
      <c r="P17" s="1127">
        <v>338752</v>
      </c>
      <c r="Q17" s="1101">
        <f>1717683+933561</f>
        <v>2651244</v>
      </c>
      <c r="R17" s="224">
        <f>2427305+826567</f>
        <v>3253872</v>
      </c>
      <c r="S17" s="2">
        <f>95504+850313</f>
        <v>945817</v>
      </c>
      <c r="T17" s="1127">
        <f>92908+1998085</f>
        <v>2090993</v>
      </c>
      <c r="U17" s="1101">
        <v>1886874</v>
      </c>
      <c r="V17" s="1127">
        <v>2526312</v>
      </c>
      <c r="W17" s="1101">
        <v>2585591</v>
      </c>
      <c r="X17" s="1127">
        <f>953642+93815</f>
        <v>1047457</v>
      </c>
      <c r="Y17" s="1101">
        <f>14768321+979474</f>
        <v>15747795</v>
      </c>
      <c r="Z17" s="1127">
        <f>4435307+10534784</f>
        <v>14970091</v>
      </c>
      <c r="AA17" s="1101">
        <v>1440</v>
      </c>
      <c r="AB17" s="1144">
        <v>4796</v>
      </c>
      <c r="AC17" s="1148">
        <f>1679079.72+12803.95</f>
        <v>1691883.67</v>
      </c>
      <c r="AD17" s="1127">
        <f>1054476.44+153886.63</f>
        <v>1208363.0699999998</v>
      </c>
      <c r="AE17" s="1101">
        <v>70858</v>
      </c>
      <c r="AF17" s="1127">
        <v>215918</v>
      </c>
      <c r="AG17" s="1101">
        <v>171755</v>
      </c>
      <c r="AH17" s="1127">
        <v>170969</v>
      </c>
      <c r="AI17" s="1101"/>
      <c r="AJ17" s="1127">
        <f>344520+5677</f>
        <v>350197</v>
      </c>
      <c r="AK17" s="1101">
        <f>1842541+634749</f>
        <v>2477290</v>
      </c>
      <c r="AL17" s="1127">
        <f>1447708+653422</f>
        <v>2101130</v>
      </c>
      <c r="AM17" s="1101"/>
      <c r="AN17" s="1154"/>
      <c r="AO17" s="1156">
        <v>8247937</v>
      </c>
      <c r="AP17" s="1159">
        <v>4762804</v>
      </c>
      <c r="AQ17" s="1111">
        <f>19596+24122</f>
        <v>43718</v>
      </c>
      <c r="AR17" s="1165">
        <f>1761+757531</f>
        <v>759292</v>
      </c>
      <c r="AS17" s="1104">
        <v>170142</v>
      </c>
      <c r="AT17" s="1319">
        <v>38806</v>
      </c>
      <c r="AU17" s="1150">
        <v>1757062</v>
      </c>
      <c r="AV17" s="1127">
        <v>1674517</v>
      </c>
      <c r="AW17" s="1101">
        <f t="shared" si="2"/>
        <v>51718750.67</v>
      </c>
      <c r="AX17" s="1127">
        <f t="shared" si="3"/>
        <v>44264566.07</v>
      </c>
      <c r="AY17" s="1103">
        <v>47597</v>
      </c>
      <c r="AZ17" s="1127">
        <v>61145</v>
      </c>
      <c r="BA17" s="1099">
        <f t="shared" si="0"/>
        <v>51766347.67</v>
      </c>
      <c r="BB17" s="1100">
        <f t="shared" si="1"/>
        <v>44325711.07</v>
      </c>
    </row>
    <row r="18" spans="1:54" ht="17.25">
      <c r="A18" s="439" t="s">
        <v>297</v>
      </c>
      <c r="B18" s="497"/>
      <c r="C18" s="1111"/>
      <c r="D18" s="1121"/>
      <c r="E18" s="1125">
        <f>2147+19023</f>
        <v>21170</v>
      </c>
      <c r="F18" s="1127">
        <f>1256+3063</f>
        <v>4319</v>
      </c>
      <c r="G18" s="1101"/>
      <c r="H18" s="1127"/>
      <c r="I18" s="1101">
        <v>165189</v>
      </c>
      <c r="J18" s="1127">
        <v>235362</v>
      </c>
      <c r="K18" s="1101">
        <v>26666</v>
      </c>
      <c r="L18" s="1127">
        <v>17859</v>
      </c>
      <c r="M18" s="1101"/>
      <c r="N18" s="1135"/>
      <c r="O18" s="1137"/>
      <c r="P18" s="1127"/>
      <c r="Q18" s="1101">
        <v>1091</v>
      </c>
      <c r="R18" s="224">
        <v>1364</v>
      </c>
      <c r="S18" s="2"/>
      <c r="T18" s="1127"/>
      <c r="U18" s="1101"/>
      <c r="V18" s="1127"/>
      <c r="W18" s="1101">
        <v>282832</v>
      </c>
      <c r="X18" s="1127">
        <v>381579</v>
      </c>
      <c r="Y18" s="1101">
        <v>435391</v>
      </c>
      <c r="Z18" s="1127">
        <v>427609</v>
      </c>
      <c r="AA18" s="1101"/>
      <c r="AB18" s="1144"/>
      <c r="AC18" s="1148"/>
      <c r="AD18" s="1127"/>
      <c r="AE18" s="1101">
        <v>14500</v>
      </c>
      <c r="AF18" s="1127">
        <v>17343</v>
      </c>
      <c r="AG18" s="1101">
        <v>410216</v>
      </c>
      <c r="AH18" s="1127">
        <v>441526</v>
      </c>
      <c r="AI18" s="1101"/>
      <c r="AJ18" s="1127"/>
      <c r="AK18" s="1101"/>
      <c r="AL18" s="1127"/>
      <c r="AM18" s="1101"/>
      <c r="AN18" s="1154"/>
      <c r="AO18" s="1156">
        <v>131093</v>
      </c>
      <c r="AP18" s="1158">
        <v>196952</v>
      </c>
      <c r="AQ18" s="1162"/>
      <c r="AR18" s="1165"/>
      <c r="AS18" s="1104"/>
      <c r="AT18" s="1319"/>
      <c r="AU18" s="1150"/>
      <c r="AV18" s="1127"/>
      <c r="AW18" s="1101">
        <f t="shared" si="2"/>
        <v>1488148</v>
      </c>
      <c r="AX18" s="1127">
        <f t="shared" si="3"/>
        <v>1723913</v>
      </c>
      <c r="AY18" s="1103"/>
      <c r="AZ18" s="1127"/>
      <c r="BA18" s="1099">
        <f t="shared" si="0"/>
        <v>1488148</v>
      </c>
      <c r="BB18" s="1100">
        <f t="shared" si="1"/>
        <v>1723913</v>
      </c>
    </row>
    <row r="19" spans="1:54" ht="17.25">
      <c r="A19" s="439" t="s">
        <v>298</v>
      </c>
      <c r="B19" s="497"/>
      <c r="C19" s="1111">
        <f>400+551736</f>
        <v>552136</v>
      </c>
      <c r="D19" s="1121">
        <f>431177+424800</f>
        <v>855977</v>
      </c>
      <c r="E19" s="1125"/>
      <c r="F19" s="1127"/>
      <c r="G19" s="1101">
        <v>46852</v>
      </c>
      <c r="H19" s="1127">
        <v>53689</v>
      </c>
      <c r="I19" s="1101">
        <v>480483</v>
      </c>
      <c r="J19" s="1127">
        <v>516010</v>
      </c>
      <c r="K19" s="1101">
        <f>105000+3827</f>
        <v>108827</v>
      </c>
      <c r="L19" s="1127">
        <v>2500</v>
      </c>
      <c r="M19" s="1101">
        <v>22062</v>
      </c>
      <c r="N19" s="1135">
        <f>78141+235642</f>
        <v>313783</v>
      </c>
      <c r="O19" s="1137">
        <f>39726+277902</f>
        <v>317628</v>
      </c>
      <c r="P19" s="1127">
        <f>25255+146610</f>
        <v>171865</v>
      </c>
      <c r="Q19" s="1101">
        <v>32806</v>
      </c>
      <c r="R19" s="224">
        <v>13196</v>
      </c>
      <c r="S19" s="2">
        <v>62615</v>
      </c>
      <c r="T19" s="1127">
        <v>60632</v>
      </c>
      <c r="U19" s="1101">
        <f>85148-11929+50640</f>
        <v>123859</v>
      </c>
      <c r="V19" s="1127">
        <f>224439-537+24448</f>
        <v>248350</v>
      </c>
      <c r="W19" s="1101">
        <v>1551087</v>
      </c>
      <c r="X19" s="1127">
        <v>2057923</v>
      </c>
      <c r="Y19" s="1101">
        <f>488907+9697</f>
        <v>498604</v>
      </c>
      <c r="Z19" s="1127">
        <f>361106+15268</f>
        <v>376374</v>
      </c>
      <c r="AA19" s="1101">
        <v>31295</v>
      </c>
      <c r="AB19" s="1144">
        <v>1958</v>
      </c>
      <c r="AC19" s="1148">
        <v>115609.03</v>
      </c>
      <c r="AD19" s="1127">
        <v>27388.12</v>
      </c>
      <c r="AE19" s="1101">
        <f>8734-6023</f>
        <v>2711</v>
      </c>
      <c r="AF19" s="1127">
        <v>10744</v>
      </c>
      <c r="AG19" s="1101"/>
      <c r="AH19" s="1127"/>
      <c r="AI19" s="1101"/>
      <c r="AJ19" s="1127">
        <f>54806+214657-5971</f>
        <v>263492</v>
      </c>
      <c r="AK19" s="1101">
        <v>100466</v>
      </c>
      <c r="AL19" s="1127">
        <v>161632</v>
      </c>
      <c r="AM19" s="1101"/>
      <c r="AN19" s="1154"/>
      <c r="AO19" s="1156">
        <v>227056</v>
      </c>
      <c r="AP19" s="1158">
        <v>260648</v>
      </c>
      <c r="AQ19" s="1162">
        <f>51037+16404+57707</f>
        <v>125148</v>
      </c>
      <c r="AR19" s="1165">
        <f>31933+10458+30312</f>
        <v>72703</v>
      </c>
      <c r="AS19" s="1104">
        <v>27274</v>
      </c>
      <c r="AT19" s="1319">
        <v>27128</v>
      </c>
      <c r="AU19" s="1150">
        <f>51965+371493+474231-4904</f>
        <v>892785</v>
      </c>
      <c r="AV19" s="1127">
        <f>38160+341939+165+2761+356692</f>
        <v>739717</v>
      </c>
      <c r="AW19" s="1101">
        <f t="shared" si="2"/>
        <v>5319303.029999999</v>
      </c>
      <c r="AX19" s="1127">
        <f t="shared" si="3"/>
        <v>6235709.12</v>
      </c>
      <c r="AY19" s="1103">
        <f>66497+5880955</f>
        <v>5947452</v>
      </c>
      <c r="AZ19" s="1127">
        <f>-90913+14780686</f>
        <v>14689773</v>
      </c>
      <c r="BA19" s="1099">
        <f t="shared" si="0"/>
        <v>11266755.03</v>
      </c>
      <c r="BB19" s="1100">
        <f t="shared" si="1"/>
        <v>20925482.12</v>
      </c>
    </row>
    <row r="20" spans="1:54" s="715" customFormat="1" ht="18">
      <c r="A20" s="493" t="s">
        <v>20</v>
      </c>
      <c r="B20" s="714"/>
      <c r="C20" s="1114">
        <v>174348369</v>
      </c>
      <c r="D20" s="1123">
        <v>84248672</v>
      </c>
      <c r="E20" s="1126"/>
      <c r="F20" s="1128"/>
      <c r="G20" s="1103">
        <v>29141614</v>
      </c>
      <c r="H20" s="1128">
        <v>11813510</v>
      </c>
      <c r="I20" s="1103">
        <v>240966215</v>
      </c>
      <c r="J20" s="1128">
        <v>96310234</v>
      </c>
      <c r="K20" s="1103">
        <v>34937336</v>
      </c>
      <c r="L20" s="1128">
        <v>27799805</v>
      </c>
      <c r="M20" s="1103">
        <v>93209631</v>
      </c>
      <c r="N20" s="1136">
        <v>30779578</v>
      </c>
      <c r="O20" s="1138">
        <v>14588400</v>
      </c>
      <c r="P20" s="1128">
        <v>15788104</v>
      </c>
      <c r="Q20" s="1103">
        <v>20915227</v>
      </c>
      <c r="R20" s="369">
        <v>13850253</v>
      </c>
      <c r="S20" s="964">
        <v>50101587</v>
      </c>
      <c r="T20" s="1128">
        <v>42068323</v>
      </c>
      <c r="U20" s="1103">
        <v>17706474</v>
      </c>
      <c r="V20" s="1128">
        <v>19419935</v>
      </c>
      <c r="W20" s="1103">
        <v>712418152</v>
      </c>
      <c r="X20" s="1128">
        <v>292614244</v>
      </c>
      <c r="Y20" s="1103">
        <v>840791268</v>
      </c>
      <c r="Z20" s="1128">
        <v>219394961</v>
      </c>
      <c r="AA20" s="1103">
        <v>34578493</v>
      </c>
      <c r="AB20" s="1145">
        <v>20103959</v>
      </c>
      <c r="AC20" s="1149">
        <v>65190832.92</v>
      </c>
      <c r="AD20" s="1128">
        <v>35998085.65</v>
      </c>
      <c r="AE20" s="1103">
        <v>84033523</v>
      </c>
      <c r="AF20" s="1128">
        <v>104541758</v>
      </c>
      <c r="AG20" s="1103">
        <v>309628262</v>
      </c>
      <c r="AH20" s="1128">
        <v>181989255</v>
      </c>
      <c r="AI20" s="1103"/>
      <c r="AJ20" s="1128">
        <v>57726148</v>
      </c>
      <c r="AK20" s="1103">
        <v>80908080</v>
      </c>
      <c r="AL20" s="1128">
        <v>51835643</v>
      </c>
      <c r="AM20" s="1103"/>
      <c r="AN20" s="1155"/>
      <c r="AO20" s="1157">
        <v>820849007</v>
      </c>
      <c r="AP20" s="1160">
        <v>438428396</v>
      </c>
      <c r="AQ20" s="1163">
        <v>25338080</v>
      </c>
      <c r="AR20" s="1166">
        <v>20461733</v>
      </c>
      <c r="AS20" s="1167">
        <v>43086638</v>
      </c>
      <c r="AT20" s="1321">
        <v>25893357</v>
      </c>
      <c r="AU20" s="1151">
        <v>196318400</v>
      </c>
      <c r="AV20" s="1128">
        <v>83972365</v>
      </c>
      <c r="AW20" s="1101">
        <f t="shared" si="2"/>
        <v>3889055588.92</v>
      </c>
      <c r="AX20" s="1127">
        <f t="shared" si="3"/>
        <v>1875038318.65</v>
      </c>
      <c r="AY20" s="1103">
        <v>6822049940</v>
      </c>
      <c r="AZ20" s="1147">
        <v>6158829370</v>
      </c>
      <c r="BA20" s="1099">
        <f t="shared" si="0"/>
        <v>10711105528.92</v>
      </c>
      <c r="BB20" s="1100">
        <f t="shared" si="1"/>
        <v>8033867688.65</v>
      </c>
    </row>
    <row r="21" spans="1:54" ht="17.25">
      <c r="A21" s="439" t="s">
        <v>60</v>
      </c>
      <c r="B21" s="493" t="s">
        <v>299</v>
      </c>
      <c r="C21" s="1112">
        <v>5428235</v>
      </c>
      <c r="D21" s="1121">
        <v>4824376</v>
      </c>
      <c r="E21" s="1125">
        <v>50615</v>
      </c>
      <c r="F21" s="1127">
        <v>46219</v>
      </c>
      <c r="G21" s="1101">
        <v>251641</v>
      </c>
      <c r="H21" s="1127">
        <v>237257</v>
      </c>
      <c r="I21" s="1101">
        <v>5798709</v>
      </c>
      <c r="J21" s="1127">
        <v>4188454</v>
      </c>
      <c r="K21" s="1101">
        <v>1562434</v>
      </c>
      <c r="L21" s="1127">
        <v>1896040</v>
      </c>
      <c r="M21" s="1101">
        <v>2936483</v>
      </c>
      <c r="N21" s="1135">
        <v>2245352</v>
      </c>
      <c r="O21" s="1137">
        <v>294294</v>
      </c>
      <c r="P21" s="1127">
        <v>396036</v>
      </c>
      <c r="Q21" s="1101">
        <v>1060256</v>
      </c>
      <c r="R21" s="224">
        <v>789611</v>
      </c>
      <c r="S21" s="2">
        <v>2120244</v>
      </c>
      <c r="T21" s="1127">
        <v>2155870</v>
      </c>
      <c r="U21" s="1101">
        <v>416371</v>
      </c>
      <c r="V21" s="1127">
        <v>532122</v>
      </c>
      <c r="W21" s="1101">
        <v>17103985</v>
      </c>
      <c r="X21" s="1127">
        <v>14911820</v>
      </c>
      <c r="Y21" s="1101">
        <v>15002179</v>
      </c>
      <c r="Z21" s="1127">
        <v>15860244</v>
      </c>
      <c r="AA21" s="1101">
        <v>670850</v>
      </c>
      <c r="AB21" s="1144">
        <v>760882</v>
      </c>
      <c r="AC21" s="1148">
        <v>1713683.99</v>
      </c>
      <c r="AD21" s="1127">
        <v>1506232.2</v>
      </c>
      <c r="AE21" s="1101">
        <v>5230051</v>
      </c>
      <c r="AF21" s="1127">
        <f>5213621+285901</f>
        <v>5499522</v>
      </c>
      <c r="AG21" s="1101">
        <v>12270100</v>
      </c>
      <c r="AH21" s="1127">
        <v>10244413</v>
      </c>
      <c r="AI21" s="1101"/>
      <c r="AJ21" s="1127">
        <v>2836468</v>
      </c>
      <c r="AK21" s="1101">
        <v>1491268</v>
      </c>
      <c r="AL21" s="1127">
        <v>1826540</v>
      </c>
      <c r="AM21" s="1101"/>
      <c r="AN21" s="1154"/>
      <c r="AO21" s="1156">
        <v>17787806</v>
      </c>
      <c r="AP21" s="1158">
        <v>16249391</v>
      </c>
      <c r="AQ21" s="1162">
        <v>1229066</v>
      </c>
      <c r="AR21" s="1165">
        <v>1122742</v>
      </c>
      <c r="AS21" s="1104">
        <v>1821976</v>
      </c>
      <c r="AT21" s="1319">
        <v>1518994</v>
      </c>
      <c r="AU21" s="1150">
        <v>10572347</v>
      </c>
      <c r="AV21" s="1127">
        <v>8388095</v>
      </c>
      <c r="AW21" s="1101">
        <f t="shared" si="2"/>
        <v>104812593.99000001</v>
      </c>
      <c r="AX21" s="1127">
        <f t="shared" si="3"/>
        <v>98036680.2</v>
      </c>
      <c r="AY21" s="1103">
        <v>221699170</v>
      </c>
      <c r="AZ21" s="1146">
        <v>213383403</v>
      </c>
      <c r="BA21" s="1099">
        <f t="shared" si="0"/>
        <v>326511763.99</v>
      </c>
      <c r="BB21" s="1100">
        <f t="shared" si="1"/>
        <v>311420083.2</v>
      </c>
    </row>
    <row r="22" spans="1:54" ht="17.25">
      <c r="A22" s="439" t="s">
        <v>300</v>
      </c>
      <c r="B22" s="493" t="s">
        <v>301</v>
      </c>
      <c r="C22" s="1112">
        <v>13211776</v>
      </c>
      <c r="D22" s="1121">
        <v>12441542</v>
      </c>
      <c r="E22" s="1125">
        <v>1799467</v>
      </c>
      <c r="F22" s="1127">
        <v>2209939</v>
      </c>
      <c r="G22" s="1101">
        <v>2875709</v>
      </c>
      <c r="H22" s="1127">
        <v>2342591</v>
      </c>
      <c r="I22" s="1101">
        <v>19267695</v>
      </c>
      <c r="J22" s="1127">
        <v>17632272</v>
      </c>
      <c r="K22" s="1101">
        <v>6993527</v>
      </c>
      <c r="L22" s="1127">
        <v>7573627</v>
      </c>
      <c r="M22" s="1101">
        <v>5875661</v>
      </c>
      <c r="N22" s="1135">
        <v>5250696</v>
      </c>
      <c r="O22" s="1137">
        <v>2498163</v>
      </c>
      <c r="P22" s="1127">
        <v>3303107</v>
      </c>
      <c r="Q22" s="1101">
        <v>5429540</v>
      </c>
      <c r="R22" s="224">
        <v>5692878</v>
      </c>
      <c r="S22" s="2">
        <v>6629111</v>
      </c>
      <c r="T22" s="1127">
        <v>8091759</v>
      </c>
      <c r="U22" s="1101">
        <v>5493931</v>
      </c>
      <c r="V22" s="1127">
        <v>6213663</v>
      </c>
      <c r="W22" s="1101">
        <v>45859705</v>
      </c>
      <c r="X22" s="1127">
        <v>42668968</v>
      </c>
      <c r="Y22" s="1101">
        <v>26882636</v>
      </c>
      <c r="Z22" s="1127">
        <v>28468703</v>
      </c>
      <c r="AA22" s="1101">
        <v>2389040</v>
      </c>
      <c r="AB22" s="1144">
        <v>2447301</v>
      </c>
      <c r="AC22" s="1148">
        <v>5614678.84</v>
      </c>
      <c r="AD22" s="1127">
        <v>4917884.75</v>
      </c>
      <c r="AE22" s="1101">
        <v>14966869</v>
      </c>
      <c r="AF22" s="1127">
        <v>14590099</v>
      </c>
      <c r="AG22" s="1101">
        <v>27006255</v>
      </c>
      <c r="AH22" s="1127">
        <v>25441067</v>
      </c>
      <c r="AI22" s="1101"/>
      <c r="AJ22" s="1127">
        <v>9071068</v>
      </c>
      <c r="AK22" s="1101">
        <v>10414464</v>
      </c>
      <c r="AL22" s="1127">
        <v>9985496</v>
      </c>
      <c r="AM22" s="1101"/>
      <c r="AN22" s="1154"/>
      <c r="AO22" s="1156">
        <v>24122509</v>
      </c>
      <c r="AP22" s="1158">
        <v>24130848</v>
      </c>
      <c r="AQ22" s="1162">
        <v>4888103</v>
      </c>
      <c r="AR22" s="1165">
        <v>5088607</v>
      </c>
      <c r="AS22" s="1104">
        <v>3899794</v>
      </c>
      <c r="AT22" s="1319">
        <v>3668329</v>
      </c>
      <c r="AU22" s="1150">
        <v>17339733</v>
      </c>
      <c r="AV22" s="1127">
        <v>15916649</v>
      </c>
      <c r="AW22" s="1101">
        <f t="shared" si="2"/>
        <v>253458366.84</v>
      </c>
      <c r="AX22" s="1127">
        <f t="shared" si="3"/>
        <v>257147093.75</v>
      </c>
      <c r="AY22" s="1103">
        <v>349895229</v>
      </c>
      <c r="AZ22" s="1146">
        <v>342568331</v>
      </c>
      <c r="BA22" s="1099">
        <f t="shared" si="0"/>
        <v>603353595.84</v>
      </c>
      <c r="BB22" s="1100">
        <f t="shared" si="1"/>
        <v>599715424.75</v>
      </c>
    </row>
    <row r="23" spans="1:54" ht="17.25">
      <c r="A23" s="439" t="s">
        <v>358</v>
      </c>
      <c r="B23" s="493"/>
      <c r="C23" s="1112"/>
      <c r="D23" s="1121"/>
      <c r="E23" s="1125"/>
      <c r="F23" s="1127"/>
      <c r="G23" s="1101"/>
      <c r="H23" s="1127"/>
      <c r="I23" s="1101"/>
      <c r="J23" s="1127"/>
      <c r="K23" s="1101"/>
      <c r="L23" s="1127"/>
      <c r="M23" s="1101"/>
      <c r="N23" s="1135"/>
      <c r="O23" s="1137"/>
      <c r="P23" s="1127"/>
      <c r="Q23" s="1101"/>
      <c r="R23" s="224"/>
      <c r="S23" s="2"/>
      <c r="T23" s="1127"/>
      <c r="U23" s="1101"/>
      <c r="V23" s="1127"/>
      <c r="W23" s="1101"/>
      <c r="X23" s="1127"/>
      <c r="Y23" s="1101"/>
      <c r="Z23" s="1127"/>
      <c r="AA23" s="1101"/>
      <c r="AB23" s="1144"/>
      <c r="AC23" s="1148"/>
      <c r="AD23" s="1127"/>
      <c r="AE23" s="1101"/>
      <c r="AF23" s="1127"/>
      <c r="AG23" s="1101"/>
      <c r="AH23" s="1127"/>
      <c r="AI23" s="1101"/>
      <c r="AJ23" s="1127"/>
      <c r="AK23" s="1101"/>
      <c r="AL23" s="1127"/>
      <c r="AM23" s="1101"/>
      <c r="AN23" s="1154"/>
      <c r="AO23" s="1156"/>
      <c r="AP23" s="1158"/>
      <c r="AQ23" s="1162"/>
      <c r="AR23" s="1165"/>
      <c r="AS23" s="1104"/>
      <c r="AT23" s="1319"/>
      <c r="AU23" s="1150"/>
      <c r="AV23" s="1127"/>
      <c r="AW23" s="1101">
        <f t="shared" si="2"/>
        <v>0</v>
      </c>
      <c r="AX23" s="1127">
        <f t="shared" si="3"/>
        <v>0</v>
      </c>
      <c r="AY23" s="1103">
        <v>-50821</v>
      </c>
      <c r="AZ23" s="1146">
        <v>-22841</v>
      </c>
      <c r="BA23" s="1099">
        <f t="shared" si="0"/>
        <v>-50821</v>
      </c>
      <c r="BB23" s="1100">
        <f t="shared" si="1"/>
        <v>-22841</v>
      </c>
    </row>
    <row r="24" spans="1:54" ht="17.25">
      <c r="A24" s="439" t="s">
        <v>302</v>
      </c>
      <c r="B24" s="497"/>
      <c r="C24" s="1111">
        <v>443</v>
      </c>
      <c r="D24" s="1121">
        <v>-43</v>
      </c>
      <c r="E24" s="1125">
        <v>34168</v>
      </c>
      <c r="F24" s="1127">
        <v>36602</v>
      </c>
      <c r="G24" s="1101">
        <v>3841</v>
      </c>
      <c r="H24" s="1127">
        <v>-144480</v>
      </c>
      <c r="I24" s="1101">
        <v>16382</v>
      </c>
      <c r="J24" s="1127">
        <v>5749</v>
      </c>
      <c r="K24" s="1101">
        <v>8431</v>
      </c>
      <c r="L24" s="1127">
        <v>13496</v>
      </c>
      <c r="M24" s="1101">
        <v>196</v>
      </c>
      <c r="N24" s="1135">
        <v>511</v>
      </c>
      <c r="O24" s="1137"/>
      <c r="P24" s="1127"/>
      <c r="Q24" s="1101">
        <v>5373</v>
      </c>
      <c r="R24" s="224">
        <v>5661</v>
      </c>
      <c r="S24" s="2"/>
      <c r="T24" s="1127"/>
      <c r="U24" s="1101">
        <v>16589</v>
      </c>
      <c r="V24" s="1127">
        <v>14458</v>
      </c>
      <c r="W24" s="1101"/>
      <c r="X24" s="1127"/>
      <c r="Y24" s="1101">
        <v>18471</v>
      </c>
      <c r="Z24" s="1127">
        <v>-7318</v>
      </c>
      <c r="AA24" s="1101">
        <v>-221</v>
      </c>
      <c r="AB24" s="1144">
        <v>-836</v>
      </c>
      <c r="AC24" s="1148"/>
      <c r="AD24" s="1127"/>
      <c r="AE24" s="1101"/>
      <c r="AF24" s="1127"/>
      <c r="AG24" s="1101">
        <v>16837</v>
      </c>
      <c r="AH24" s="1127">
        <v>3194</v>
      </c>
      <c r="AI24" s="1101"/>
      <c r="AJ24" s="1127"/>
      <c r="AK24" s="1101">
        <v>-26321</v>
      </c>
      <c r="AL24" s="1127">
        <v>19894</v>
      </c>
      <c r="AM24" s="1101"/>
      <c r="AN24" s="1154"/>
      <c r="AO24" s="1156">
        <v>-2237</v>
      </c>
      <c r="AP24" s="1158">
        <v>4329</v>
      </c>
      <c r="AQ24" s="1162"/>
      <c r="AR24" s="1165"/>
      <c r="AS24" s="1104">
        <v>-872</v>
      </c>
      <c r="AT24" s="1319">
        <v>1034</v>
      </c>
      <c r="AU24" s="1150"/>
      <c r="AV24" s="1127"/>
      <c r="AW24" s="1101">
        <f t="shared" si="2"/>
        <v>91080</v>
      </c>
      <c r="AX24" s="1127">
        <f t="shared" si="3"/>
        <v>-47749</v>
      </c>
      <c r="AY24" s="1103">
        <v>89585309</v>
      </c>
      <c r="AZ24" s="1146">
        <v>-4338279</v>
      </c>
      <c r="BA24" s="1099">
        <f t="shared" si="0"/>
        <v>89676389</v>
      </c>
      <c r="BB24" s="1100">
        <f t="shared" si="1"/>
        <v>-4386028</v>
      </c>
    </row>
    <row r="25" spans="1:54" ht="17.25">
      <c r="A25" s="439" t="s">
        <v>303</v>
      </c>
      <c r="B25" s="497"/>
      <c r="C25" s="1111"/>
      <c r="D25" s="1123"/>
      <c r="E25" s="1126">
        <v>1077</v>
      </c>
      <c r="F25" s="1128">
        <v>-4947</v>
      </c>
      <c r="G25" s="1103"/>
      <c r="H25" s="1128"/>
      <c r="I25" s="1103">
        <v>10507</v>
      </c>
      <c r="J25" s="1128">
        <v>23138</v>
      </c>
      <c r="K25" s="1103">
        <v>25573</v>
      </c>
      <c r="L25" s="1128">
        <v>18347</v>
      </c>
      <c r="M25" s="1103">
        <v>504</v>
      </c>
      <c r="N25" s="1136"/>
      <c r="O25" s="1138"/>
      <c r="P25" s="1128"/>
      <c r="Q25" s="1103"/>
      <c r="R25" s="99"/>
      <c r="S25" s="7"/>
      <c r="T25" s="1128"/>
      <c r="U25" s="1103"/>
      <c r="V25" s="1128">
        <v>-38</v>
      </c>
      <c r="W25" s="1103"/>
      <c r="X25" s="1128"/>
      <c r="Y25" s="1103">
        <v>18176</v>
      </c>
      <c r="Z25" s="1128">
        <v>26392</v>
      </c>
      <c r="AA25" s="1103">
        <v>630</v>
      </c>
      <c r="AB25" s="1144">
        <v>1366</v>
      </c>
      <c r="AC25" s="1148"/>
      <c r="AD25" s="1128"/>
      <c r="AE25" s="1103"/>
      <c r="AF25" s="1152"/>
      <c r="AG25" s="1153">
        <v>23316</v>
      </c>
      <c r="AH25" s="1128">
        <v>16213</v>
      </c>
      <c r="AI25" s="1103"/>
      <c r="AJ25" s="1128"/>
      <c r="AK25" s="1103">
        <v>38576</v>
      </c>
      <c r="AL25" s="1128"/>
      <c r="AM25" s="1103"/>
      <c r="AN25" s="1154"/>
      <c r="AO25" s="1156">
        <v>1485</v>
      </c>
      <c r="AP25" s="1161">
        <v>2220</v>
      </c>
      <c r="AQ25" s="1164"/>
      <c r="AR25" s="1165"/>
      <c r="AS25" s="1104">
        <v>3200</v>
      </c>
      <c r="AT25" s="1319">
        <v>2610</v>
      </c>
      <c r="AU25" s="1150"/>
      <c r="AV25" s="1128"/>
      <c r="AW25" s="1101">
        <f t="shared" si="2"/>
        <v>123044</v>
      </c>
      <c r="AX25" s="1127">
        <f t="shared" si="3"/>
        <v>85301</v>
      </c>
      <c r="AY25" s="1103"/>
      <c r="AZ25" s="1128"/>
      <c r="BA25" s="1099">
        <f t="shared" si="0"/>
        <v>123044</v>
      </c>
      <c r="BB25" s="1100">
        <f t="shared" si="1"/>
        <v>85301</v>
      </c>
    </row>
    <row r="26" spans="1:54" ht="17.25">
      <c r="A26" s="439" t="s">
        <v>535</v>
      </c>
      <c r="B26" s="497"/>
      <c r="C26" s="1111"/>
      <c r="D26" s="1123"/>
      <c r="E26" s="1126"/>
      <c r="F26" s="1128"/>
      <c r="G26" s="1103"/>
      <c r="H26" s="1128"/>
      <c r="I26" s="1103"/>
      <c r="J26" s="1128"/>
      <c r="K26" s="1103"/>
      <c r="L26" s="1128"/>
      <c r="M26" s="1103"/>
      <c r="N26" s="1136"/>
      <c r="O26" s="1138"/>
      <c r="P26" s="1128"/>
      <c r="Q26" s="1103"/>
      <c r="R26" s="99"/>
      <c r="S26" s="7"/>
      <c r="T26" s="1128"/>
      <c r="U26" s="1103"/>
      <c r="V26" s="1128"/>
      <c r="W26" s="1103"/>
      <c r="X26" s="1128"/>
      <c r="Y26" s="1103"/>
      <c r="Z26" s="1128"/>
      <c r="AA26" s="1103"/>
      <c r="AB26" s="1144"/>
      <c r="AC26" s="1148"/>
      <c r="AD26" s="1128"/>
      <c r="AE26" s="1103"/>
      <c r="AF26" s="1152"/>
      <c r="AG26" s="1153"/>
      <c r="AH26" s="1128"/>
      <c r="AI26" s="1103"/>
      <c r="AJ26" s="1128"/>
      <c r="AK26" s="1103"/>
      <c r="AL26" s="1128"/>
      <c r="AM26" s="1103"/>
      <c r="AN26" s="1154"/>
      <c r="AO26" s="1156"/>
      <c r="AP26" s="1161"/>
      <c r="AQ26" s="1164">
        <v>14561</v>
      </c>
      <c r="AR26" s="1165"/>
      <c r="AS26" s="1104"/>
      <c r="AT26" s="1319"/>
      <c r="AU26" s="1150"/>
      <c r="AV26" s="1128"/>
      <c r="AW26" s="1101"/>
      <c r="AX26" s="1127"/>
      <c r="AY26" s="1103"/>
      <c r="AZ26" s="1128"/>
      <c r="BA26" s="1099"/>
      <c r="BB26" s="1100"/>
    </row>
    <row r="27" spans="1:54" ht="17.25">
      <c r="A27" s="439" t="s">
        <v>304</v>
      </c>
      <c r="B27" s="497"/>
      <c r="C27" s="1111">
        <v>390463</v>
      </c>
      <c r="D27" s="1121">
        <f>335674</f>
        <v>335674</v>
      </c>
      <c r="E27" s="1125"/>
      <c r="F27" s="1127"/>
      <c r="G27" s="1101"/>
      <c r="H27" s="1127"/>
      <c r="I27" s="1101"/>
      <c r="J27" s="1127"/>
      <c r="K27" s="1101">
        <v>54174</v>
      </c>
      <c r="L27" s="1127">
        <v>40977</v>
      </c>
      <c r="M27" s="1101"/>
      <c r="N27" s="1135"/>
      <c r="O27" s="1137"/>
      <c r="P27" s="1127"/>
      <c r="Q27" s="1101"/>
      <c r="R27" s="224"/>
      <c r="S27" s="2"/>
      <c r="T27" s="1127"/>
      <c r="U27" s="1101"/>
      <c r="V27" s="1127"/>
      <c r="W27" s="1101">
        <v>2743931</v>
      </c>
      <c r="X27" s="1127">
        <v>1490341</v>
      </c>
      <c r="Y27" s="1101"/>
      <c r="Z27" s="1127"/>
      <c r="AA27" s="1101"/>
      <c r="AB27" s="1144"/>
      <c r="AC27" s="1148"/>
      <c r="AD27" s="1127"/>
      <c r="AE27" s="1101">
        <v>1725793</v>
      </c>
      <c r="AF27" s="1127">
        <v>448007</v>
      </c>
      <c r="AG27" s="1101"/>
      <c r="AH27" s="1127"/>
      <c r="AI27" s="1101"/>
      <c r="AJ27" s="1127">
        <v>290847</v>
      </c>
      <c r="AK27" s="1101"/>
      <c r="AL27" s="1127"/>
      <c r="AM27" s="1101"/>
      <c r="AN27" s="1154"/>
      <c r="AO27" s="1156"/>
      <c r="AP27" s="1159"/>
      <c r="AQ27" s="1111">
        <v>325647</v>
      </c>
      <c r="AR27" s="1165">
        <v>350532</v>
      </c>
      <c r="AS27" s="1104">
        <v>108447</v>
      </c>
      <c r="AT27" s="1319">
        <v>129806</v>
      </c>
      <c r="AU27" s="1150">
        <v>-3381196</v>
      </c>
      <c r="AV27" s="1127">
        <v>1238691</v>
      </c>
      <c r="AW27" s="1101">
        <f t="shared" si="2"/>
        <v>1967259</v>
      </c>
      <c r="AX27" s="1127">
        <f t="shared" si="3"/>
        <v>4324875</v>
      </c>
      <c r="AY27" s="1103">
        <v>79877603</v>
      </c>
      <c r="AZ27" s="1146">
        <v>68239329</v>
      </c>
      <c r="BA27" s="1099">
        <f t="shared" si="0"/>
        <v>81844862</v>
      </c>
      <c r="BB27" s="1100">
        <f t="shared" si="1"/>
        <v>72564204</v>
      </c>
    </row>
    <row r="28" spans="1:54" ht="17.25">
      <c r="A28" s="439" t="s">
        <v>305</v>
      </c>
      <c r="B28" s="497"/>
      <c r="C28" s="1111"/>
      <c r="D28" s="1121"/>
      <c r="E28" s="1125"/>
      <c r="F28" s="1127"/>
      <c r="G28" s="1101"/>
      <c r="H28" s="1127"/>
      <c r="I28" s="1101"/>
      <c r="J28" s="1127"/>
      <c r="K28" s="1101"/>
      <c r="L28" s="1127"/>
      <c r="M28" s="1101"/>
      <c r="N28" s="1135"/>
      <c r="O28" s="1137"/>
      <c r="P28" s="1127"/>
      <c r="Q28" s="1101"/>
      <c r="R28" s="224"/>
      <c r="S28" s="2"/>
      <c r="T28" s="1127"/>
      <c r="U28" s="1101"/>
      <c r="V28" s="1127"/>
      <c r="W28" s="1101"/>
      <c r="X28" s="1127"/>
      <c r="Y28" s="1101"/>
      <c r="Z28" s="1127"/>
      <c r="AA28" s="1101"/>
      <c r="AB28" s="1144"/>
      <c r="AC28" s="1148"/>
      <c r="AD28" s="1127"/>
      <c r="AE28" s="1101"/>
      <c r="AF28" s="1127"/>
      <c r="AG28" s="1101"/>
      <c r="AH28" s="1127"/>
      <c r="AI28" s="1101"/>
      <c r="AJ28" s="1127"/>
      <c r="AK28" s="1101"/>
      <c r="AL28" s="1127"/>
      <c r="AM28" s="1101"/>
      <c r="AN28" s="1154"/>
      <c r="AO28" s="1156">
        <v>975588</v>
      </c>
      <c r="AP28" s="1158">
        <v>3767393</v>
      </c>
      <c r="AQ28" s="1162"/>
      <c r="AR28" s="1165"/>
      <c r="AS28" s="1104"/>
      <c r="AT28" s="1319"/>
      <c r="AU28" s="1150"/>
      <c r="AV28" s="1127"/>
      <c r="AW28" s="1101">
        <f t="shared" si="2"/>
        <v>975588</v>
      </c>
      <c r="AX28" s="1127">
        <f t="shared" si="3"/>
        <v>3767393</v>
      </c>
      <c r="AY28" s="1103"/>
      <c r="AZ28" s="1146"/>
      <c r="BA28" s="1099">
        <f t="shared" si="0"/>
        <v>975588</v>
      </c>
      <c r="BB28" s="1100">
        <f t="shared" si="1"/>
        <v>3767393</v>
      </c>
    </row>
    <row r="29" spans="1:54" ht="17.25">
      <c r="A29" s="439" t="s">
        <v>306</v>
      </c>
      <c r="B29" s="497"/>
      <c r="C29" s="1111"/>
      <c r="D29" s="1121"/>
      <c r="E29" s="1125"/>
      <c r="F29" s="1127"/>
      <c r="G29" s="1101"/>
      <c r="H29" s="1127"/>
      <c r="I29" s="1101"/>
      <c r="J29" s="1127"/>
      <c r="K29" s="1101"/>
      <c r="L29" s="1127"/>
      <c r="M29" s="1101"/>
      <c r="N29" s="1135"/>
      <c r="O29" s="1137"/>
      <c r="P29" s="1127"/>
      <c r="Q29" s="1101"/>
      <c r="R29" s="224"/>
      <c r="S29" s="2"/>
      <c r="T29" s="1127"/>
      <c r="U29" s="1101"/>
      <c r="V29" s="1127"/>
      <c r="W29" s="1101"/>
      <c r="X29" s="1127"/>
      <c r="Y29" s="1101"/>
      <c r="Z29" s="1127"/>
      <c r="AA29" s="1101"/>
      <c r="AB29" s="1144"/>
      <c r="AC29" s="1148"/>
      <c r="AD29" s="1127"/>
      <c r="AE29" s="1101"/>
      <c r="AF29" s="1127"/>
      <c r="AG29" s="1101"/>
      <c r="AH29" s="1127"/>
      <c r="AI29" s="1101"/>
      <c r="AJ29" s="1127"/>
      <c r="AK29" s="1101"/>
      <c r="AL29" s="1127"/>
      <c r="AM29" s="1101"/>
      <c r="AN29" s="1154"/>
      <c r="AO29" s="1156"/>
      <c r="AP29" s="1159"/>
      <c r="AQ29" s="1111">
        <v>-13819</v>
      </c>
      <c r="AR29" s="1165"/>
      <c r="AS29" s="1104"/>
      <c r="AT29" s="1319"/>
      <c r="AU29" s="1150"/>
      <c r="AV29" s="1127"/>
      <c r="AW29" s="1101">
        <f t="shared" si="2"/>
        <v>-13819</v>
      </c>
      <c r="AX29" s="1127">
        <f t="shared" si="3"/>
        <v>0</v>
      </c>
      <c r="AY29" s="1103"/>
      <c r="AZ29" s="1146"/>
      <c r="BA29" s="1099">
        <f t="shared" si="0"/>
        <v>-13819</v>
      </c>
      <c r="BB29" s="1100">
        <f t="shared" si="1"/>
        <v>0</v>
      </c>
    </row>
    <row r="30" spans="1:54" ht="17.25">
      <c r="A30" s="439" t="s">
        <v>307</v>
      </c>
      <c r="B30" s="497"/>
      <c r="C30" s="1111">
        <v>45818</v>
      </c>
      <c r="D30" s="1121">
        <v>250358</v>
      </c>
      <c r="E30" s="1125"/>
      <c r="F30" s="1127">
        <v>12500</v>
      </c>
      <c r="G30" s="1101">
        <v>-14636</v>
      </c>
      <c r="H30" s="1127">
        <v>289787</v>
      </c>
      <c r="I30" s="1101">
        <v>-698264</v>
      </c>
      <c r="J30" s="1127">
        <v>2672008</v>
      </c>
      <c r="K30" s="1101"/>
      <c r="L30" s="1127">
        <v>700000</v>
      </c>
      <c r="M30" s="1101"/>
      <c r="N30" s="1135"/>
      <c r="O30" s="1137">
        <v>91500</v>
      </c>
      <c r="P30" s="1127">
        <v>521211</v>
      </c>
      <c r="Q30" s="1101"/>
      <c r="R30" s="224"/>
      <c r="S30" s="2">
        <v>37500</v>
      </c>
      <c r="T30" s="1127">
        <v>229750</v>
      </c>
      <c r="U30" s="1101">
        <v>160000</v>
      </c>
      <c r="V30" s="1127">
        <v>52000</v>
      </c>
      <c r="W30" s="1101">
        <v>-1905258</v>
      </c>
      <c r="X30" s="1127">
        <v>5308412</v>
      </c>
      <c r="Y30" s="1101">
        <v>201234</v>
      </c>
      <c r="Z30" s="1127">
        <v>2132353</v>
      </c>
      <c r="AA30" s="1101">
        <v>60837</v>
      </c>
      <c r="AB30" s="1144">
        <v>-27203</v>
      </c>
      <c r="AC30" s="1148">
        <v>-23314.14</v>
      </c>
      <c r="AD30" s="1127">
        <v>638782.49</v>
      </c>
      <c r="AE30" s="1101">
        <v>-61589</v>
      </c>
      <c r="AF30" s="1127"/>
      <c r="AG30" s="1101">
        <v>1642324</v>
      </c>
      <c r="AH30" s="1127">
        <v>1302305</v>
      </c>
      <c r="AI30" s="1101"/>
      <c r="AJ30" s="1127"/>
      <c r="AK30" s="1101"/>
      <c r="AL30" s="1127">
        <v>2803824</v>
      </c>
      <c r="AM30" s="1101"/>
      <c r="AN30" s="1154"/>
      <c r="AO30" s="1156">
        <v>-1711102</v>
      </c>
      <c r="AP30" s="1158">
        <v>705227</v>
      </c>
      <c r="AQ30" s="1162"/>
      <c r="AR30" s="1165">
        <v>246185</v>
      </c>
      <c r="AS30" s="1104">
        <v>246600</v>
      </c>
      <c r="AT30" s="1319">
        <v>349100</v>
      </c>
      <c r="AU30" s="1150"/>
      <c r="AV30" s="1127">
        <v>-9358</v>
      </c>
      <c r="AW30" s="1101">
        <f t="shared" si="2"/>
        <v>-1928350.1399999997</v>
      </c>
      <c r="AX30" s="1127">
        <f t="shared" si="3"/>
        <v>18177241.490000002</v>
      </c>
      <c r="AY30" s="1103">
        <v>45317706</v>
      </c>
      <c r="AZ30" s="1146">
        <v>6503258</v>
      </c>
      <c r="BA30" s="1099">
        <f t="shared" si="0"/>
        <v>43389355.86</v>
      </c>
      <c r="BB30" s="1100">
        <f t="shared" si="1"/>
        <v>24680499.490000002</v>
      </c>
    </row>
    <row r="31" spans="1:54" ht="17.25">
      <c r="A31" s="439" t="s">
        <v>308</v>
      </c>
      <c r="B31" s="497"/>
      <c r="C31" s="1111">
        <v>-163</v>
      </c>
      <c r="D31" s="1123">
        <v>-163</v>
      </c>
      <c r="E31" s="1126"/>
      <c r="F31" s="1128"/>
      <c r="G31" s="1103"/>
      <c r="H31" s="1128"/>
      <c r="I31" s="1103">
        <v>8032</v>
      </c>
      <c r="J31" s="1128">
        <v>11964</v>
      </c>
      <c r="K31" s="1103"/>
      <c r="L31" s="1128"/>
      <c r="M31" s="1103"/>
      <c r="N31" s="1136"/>
      <c r="O31" s="1138"/>
      <c r="P31" s="1128"/>
      <c r="Q31" s="1103"/>
      <c r="R31" s="99"/>
      <c r="S31" s="7"/>
      <c r="T31" s="1128"/>
      <c r="U31" s="1103"/>
      <c r="V31" s="1128"/>
      <c r="W31" s="1103"/>
      <c r="X31" s="1128"/>
      <c r="Y31" s="1103"/>
      <c r="Z31" s="1128"/>
      <c r="AA31" s="1103"/>
      <c r="AB31" s="1144"/>
      <c r="AC31" s="1148"/>
      <c r="AD31" s="1128"/>
      <c r="AE31" s="1103">
        <v>-1809</v>
      </c>
      <c r="AF31" s="1152">
        <v>-474</v>
      </c>
      <c r="AG31" s="1153"/>
      <c r="AH31" s="1128"/>
      <c r="AI31" s="1103"/>
      <c r="AJ31" s="1128"/>
      <c r="AK31" s="1103"/>
      <c r="AL31" s="1128"/>
      <c r="AM31" s="1103"/>
      <c r="AN31" s="1154"/>
      <c r="AO31" s="1156">
        <v>-1933</v>
      </c>
      <c r="AP31" s="1161">
        <v>532390</v>
      </c>
      <c r="AQ31" s="1164"/>
      <c r="AR31" s="1165"/>
      <c r="AS31" s="1104"/>
      <c r="AT31" s="1319"/>
      <c r="AU31" s="1150"/>
      <c r="AV31" s="1128"/>
      <c r="AW31" s="1101">
        <f t="shared" si="2"/>
        <v>4127</v>
      </c>
      <c r="AX31" s="1127">
        <f t="shared" si="3"/>
        <v>543717</v>
      </c>
      <c r="AY31" s="1103">
        <v>-84891300</v>
      </c>
      <c r="AZ31" s="1128">
        <v>100519433</v>
      </c>
      <c r="BA31" s="1099">
        <f t="shared" si="0"/>
        <v>-84887173</v>
      </c>
      <c r="BB31" s="1100">
        <f t="shared" si="1"/>
        <v>101063150</v>
      </c>
    </row>
    <row r="32" spans="1:54" ht="17.25">
      <c r="A32" s="439" t="s">
        <v>515</v>
      </c>
      <c r="B32" s="497"/>
      <c r="C32" s="1111"/>
      <c r="D32" s="1123"/>
      <c r="E32" s="1126"/>
      <c r="F32" s="1128"/>
      <c r="G32" s="1103"/>
      <c r="H32" s="1128"/>
      <c r="I32" s="1103"/>
      <c r="J32" s="1128"/>
      <c r="K32" s="1103"/>
      <c r="L32" s="1128"/>
      <c r="M32" s="1103"/>
      <c r="N32" s="1136">
        <v>187500</v>
      </c>
      <c r="O32" s="1138"/>
      <c r="P32" s="1128"/>
      <c r="Q32" s="1103"/>
      <c r="R32" s="99">
        <v>98295</v>
      </c>
      <c r="S32" s="7"/>
      <c r="T32" s="1128"/>
      <c r="U32" s="1103"/>
      <c r="V32" s="1128"/>
      <c r="W32" s="1103">
        <v>19822</v>
      </c>
      <c r="X32" s="1128">
        <v>365806</v>
      </c>
      <c r="Y32" s="1103"/>
      <c r="Z32" s="1128"/>
      <c r="AA32" s="1103"/>
      <c r="AB32" s="1144"/>
      <c r="AC32" s="1148"/>
      <c r="AD32" s="1128"/>
      <c r="AE32" s="1103"/>
      <c r="AF32" s="1152"/>
      <c r="AG32" s="1153"/>
      <c r="AH32" s="1128"/>
      <c r="AI32" s="1103"/>
      <c r="AJ32" s="1128">
        <v>12851</v>
      </c>
      <c r="AK32" s="1103"/>
      <c r="AL32" s="1128"/>
      <c r="AM32" s="1103"/>
      <c r="AN32" s="1154"/>
      <c r="AO32" s="1156"/>
      <c r="AP32" s="1161"/>
      <c r="AQ32" s="1164"/>
      <c r="AR32" s="1165">
        <v>27088</v>
      </c>
      <c r="AS32" s="1104"/>
      <c r="AT32" s="1319"/>
      <c r="AU32" s="1150"/>
      <c r="AV32" s="1128"/>
      <c r="AW32" s="1101">
        <f t="shared" si="2"/>
        <v>19822</v>
      </c>
      <c r="AX32" s="1127">
        <f t="shared" si="3"/>
        <v>691540</v>
      </c>
      <c r="AY32" s="1103"/>
      <c r="AZ32" s="1128"/>
      <c r="BA32" s="1099">
        <f t="shared" si="0"/>
        <v>19822</v>
      </c>
      <c r="BB32" s="1100">
        <f t="shared" si="1"/>
        <v>691540</v>
      </c>
    </row>
    <row r="33" spans="1:54" ht="17.25">
      <c r="A33" s="439" t="s">
        <v>309</v>
      </c>
      <c r="B33" s="497"/>
      <c r="C33" s="1111">
        <v>1137414</v>
      </c>
      <c r="D33" s="1121">
        <v>1116928</v>
      </c>
      <c r="E33" s="1125"/>
      <c r="F33" s="1127"/>
      <c r="G33" s="1101">
        <v>136356</v>
      </c>
      <c r="H33" s="1127">
        <v>146274</v>
      </c>
      <c r="I33" s="1101">
        <v>1233803</v>
      </c>
      <c r="J33" s="1127">
        <v>1184137</v>
      </c>
      <c r="K33" s="1101"/>
      <c r="L33" s="1127"/>
      <c r="M33" s="1101">
        <v>579248</v>
      </c>
      <c r="N33" s="1135">
        <v>571500</v>
      </c>
      <c r="O33" s="1137">
        <v>14551</v>
      </c>
      <c r="P33" s="1127">
        <v>16396</v>
      </c>
      <c r="Q33" s="1101">
        <v>69352</v>
      </c>
      <c r="R33" s="224">
        <v>61158</v>
      </c>
      <c r="S33" s="2">
        <v>49219</v>
      </c>
      <c r="T33" s="1127">
        <v>56561</v>
      </c>
      <c r="U33" s="1101">
        <v>38150</v>
      </c>
      <c r="V33" s="1127">
        <v>42582</v>
      </c>
      <c r="W33" s="1101">
        <v>3567549</v>
      </c>
      <c r="X33" s="1127">
        <v>3532350</v>
      </c>
      <c r="Y33" s="1101">
        <v>6546377</v>
      </c>
      <c r="Z33" s="1127">
        <v>6533945</v>
      </c>
      <c r="AA33" s="1101">
        <v>166518</v>
      </c>
      <c r="AB33" s="1146">
        <v>161655</v>
      </c>
      <c r="AC33" s="1150">
        <v>317939.46</v>
      </c>
      <c r="AD33" s="1127">
        <v>295007.98</v>
      </c>
      <c r="AE33" s="1101">
        <v>703052</v>
      </c>
      <c r="AF33" s="1127">
        <v>641317</v>
      </c>
      <c r="AG33" s="1101">
        <v>218477</v>
      </c>
      <c r="AH33" s="1127">
        <v>1450114</v>
      </c>
      <c r="AI33" s="1101"/>
      <c r="AJ33" s="1127">
        <v>455561</v>
      </c>
      <c r="AK33" s="1101">
        <v>328907</v>
      </c>
      <c r="AL33" s="1127">
        <v>321187</v>
      </c>
      <c r="AM33" s="1101"/>
      <c r="AN33" s="1154"/>
      <c r="AO33" s="1156">
        <v>6434619</v>
      </c>
      <c r="AP33" s="1158">
        <v>5531680</v>
      </c>
      <c r="AQ33" s="1162"/>
      <c r="AR33" s="1165">
        <v>27474</v>
      </c>
      <c r="AS33" s="1104">
        <v>90674</v>
      </c>
      <c r="AT33" s="1319">
        <v>93277</v>
      </c>
      <c r="AU33" s="1150">
        <v>673065</v>
      </c>
      <c r="AV33" s="1127">
        <v>585590</v>
      </c>
      <c r="AW33" s="1101">
        <f t="shared" si="2"/>
        <v>22305270.46</v>
      </c>
      <c r="AX33" s="1127">
        <f t="shared" si="3"/>
        <v>22824693.98</v>
      </c>
      <c r="AY33" s="1103">
        <v>932222</v>
      </c>
      <c r="AZ33" s="1127">
        <v>982752</v>
      </c>
      <c r="BA33" s="1099">
        <f t="shared" si="0"/>
        <v>23237492.46</v>
      </c>
      <c r="BB33" s="1100">
        <f t="shared" si="1"/>
        <v>23807445.98</v>
      </c>
    </row>
    <row r="34" spans="1:54" s="715" customFormat="1" ht="18">
      <c r="A34" s="493" t="s">
        <v>310</v>
      </c>
      <c r="B34" s="714"/>
      <c r="C34" s="1114">
        <v>20213986</v>
      </c>
      <c r="D34" s="1123">
        <v>18968672</v>
      </c>
      <c r="E34" s="1126">
        <v>1885327</v>
      </c>
      <c r="F34" s="1128">
        <v>2300313</v>
      </c>
      <c r="G34" s="1103">
        <v>3262911</v>
      </c>
      <c r="H34" s="1128">
        <v>2871429</v>
      </c>
      <c r="I34" s="1103">
        <v>25636864</v>
      </c>
      <c r="J34" s="1128">
        <v>25717722</v>
      </c>
      <c r="K34" s="1103">
        <v>8644396</v>
      </c>
      <c r="L34" s="1128">
        <v>10242487</v>
      </c>
      <c r="M34" s="1103">
        <v>9392092</v>
      </c>
      <c r="N34" s="1136">
        <v>8255559</v>
      </c>
      <c r="O34" s="1138">
        <v>2898508</v>
      </c>
      <c r="P34" s="1128">
        <v>4236750</v>
      </c>
      <c r="Q34" s="1103">
        <v>6564521</v>
      </c>
      <c r="R34" s="369">
        <v>6647605</v>
      </c>
      <c r="S34" s="964">
        <v>8836074</v>
      </c>
      <c r="T34" s="1128">
        <v>10533940</v>
      </c>
      <c r="U34" s="1103">
        <v>6125041</v>
      </c>
      <c r="V34" s="1128">
        <v>6854787</v>
      </c>
      <c r="W34" s="1103">
        <v>67389734</v>
      </c>
      <c r="X34" s="1128">
        <v>68277697</v>
      </c>
      <c r="Y34" s="1103">
        <v>48669073</v>
      </c>
      <c r="Z34" s="1128">
        <v>53014319</v>
      </c>
      <c r="AA34" s="1103">
        <v>3287654</v>
      </c>
      <c r="AB34" s="1147">
        <v>3343165</v>
      </c>
      <c r="AC34" s="1151">
        <v>7622988.15</v>
      </c>
      <c r="AD34" s="1128">
        <v>7357907.42</v>
      </c>
      <c r="AE34" s="1103">
        <v>22562367</v>
      </c>
      <c r="AF34" s="1128">
        <v>23199894</v>
      </c>
      <c r="AG34" s="1103">
        <v>41177309</v>
      </c>
      <c r="AH34" s="1128">
        <v>36457306</v>
      </c>
      <c r="AI34" s="1103"/>
      <c r="AJ34" s="1128">
        <v>12666795</v>
      </c>
      <c r="AK34" s="1103">
        <v>12246894</v>
      </c>
      <c r="AL34" s="1128">
        <v>14956941</v>
      </c>
      <c r="AM34" s="1103"/>
      <c r="AN34" s="1155"/>
      <c r="AO34" s="1157">
        <v>47606734</v>
      </c>
      <c r="AP34" s="1160">
        <v>50923477</v>
      </c>
      <c r="AQ34" s="1163">
        <v>6469139</v>
      </c>
      <c r="AR34" s="1166">
        <v>6892628</v>
      </c>
      <c r="AS34" s="1167">
        <v>6169819</v>
      </c>
      <c r="AT34" s="1321">
        <v>5763150</v>
      </c>
      <c r="AU34" s="1151">
        <v>25203949</v>
      </c>
      <c r="AV34" s="1128">
        <v>26119667</v>
      </c>
      <c r="AW34" s="1101">
        <f t="shared" si="2"/>
        <v>381865380.15</v>
      </c>
      <c r="AX34" s="1127">
        <f t="shared" si="3"/>
        <v>405602210.41999996</v>
      </c>
      <c r="AY34" s="1103">
        <v>702365118</v>
      </c>
      <c r="AZ34" s="1128">
        <v>727835386</v>
      </c>
      <c r="BA34" s="1099">
        <f t="shared" si="0"/>
        <v>1084230498.15</v>
      </c>
      <c r="BB34" s="1100">
        <f t="shared" si="1"/>
        <v>1133437596.42</v>
      </c>
    </row>
    <row r="35" spans="1:54" ht="17.25">
      <c r="A35" s="439" t="s">
        <v>311</v>
      </c>
      <c r="B35" s="493" t="s">
        <v>312</v>
      </c>
      <c r="C35" s="1112">
        <v>47845304</v>
      </c>
      <c r="D35" s="1121">
        <v>55460877</v>
      </c>
      <c r="E35" s="1125">
        <v>3096255</v>
      </c>
      <c r="F35" s="1127">
        <v>2802800</v>
      </c>
      <c r="G35" s="1101">
        <v>9933156</v>
      </c>
      <c r="H35" s="1127">
        <v>10903826</v>
      </c>
      <c r="I35" s="1101">
        <v>61082512</v>
      </c>
      <c r="J35" s="1127">
        <v>67140658</v>
      </c>
      <c r="K35" s="1101">
        <v>5506434</v>
      </c>
      <c r="L35" s="1127">
        <v>3938841</v>
      </c>
      <c r="M35" s="1101">
        <v>20536662</v>
      </c>
      <c r="N35" s="1135">
        <v>17226978</v>
      </c>
      <c r="O35" s="1137">
        <v>3856288</v>
      </c>
      <c r="P35" s="1127">
        <v>3937393</v>
      </c>
      <c r="Q35" s="1101">
        <v>1645883</v>
      </c>
      <c r="R35" s="224">
        <v>880132</v>
      </c>
      <c r="S35" s="2">
        <v>17210437</v>
      </c>
      <c r="T35" s="1127">
        <v>14618978</v>
      </c>
      <c r="U35" s="1101">
        <v>5019203</v>
      </c>
      <c r="V35" s="1127">
        <v>4545175</v>
      </c>
      <c r="W35" s="1101">
        <v>217806713</v>
      </c>
      <c r="X35" s="1127">
        <v>181730378</v>
      </c>
      <c r="Y35" s="1101">
        <v>225246623</v>
      </c>
      <c r="Z35" s="1127">
        <v>193026449</v>
      </c>
      <c r="AA35" s="1101">
        <v>9516424</v>
      </c>
      <c r="AB35" s="1146">
        <v>6973089</v>
      </c>
      <c r="AC35" s="1150">
        <v>33270921.99</v>
      </c>
      <c r="AD35" s="1127">
        <v>30939098.1</v>
      </c>
      <c r="AE35" s="1101">
        <v>40999014</v>
      </c>
      <c r="AF35" s="1127">
        <v>35722280</v>
      </c>
      <c r="AG35" s="1101">
        <v>69982213</v>
      </c>
      <c r="AH35" s="1127">
        <v>66205122</v>
      </c>
      <c r="AI35" s="1101"/>
      <c r="AJ35" s="1127">
        <v>23350769</v>
      </c>
      <c r="AK35" s="1101">
        <v>27767516</v>
      </c>
      <c r="AL35" s="1127">
        <v>30837293</v>
      </c>
      <c r="AM35" s="1101"/>
      <c r="AN35" s="1154"/>
      <c r="AO35" s="1156">
        <v>214928755</v>
      </c>
      <c r="AP35" s="1158">
        <v>161753462</v>
      </c>
      <c r="AQ35" s="1162">
        <v>5583312</v>
      </c>
      <c r="AR35" s="1165">
        <v>4950717</v>
      </c>
      <c r="AS35" s="1104">
        <v>11370033</v>
      </c>
      <c r="AT35" s="1319">
        <v>10349631</v>
      </c>
      <c r="AU35" s="1150">
        <v>27765127</v>
      </c>
      <c r="AV35" s="1127">
        <v>23674644</v>
      </c>
      <c r="AW35" s="1101">
        <f t="shared" si="2"/>
        <v>1059968785.99</v>
      </c>
      <c r="AX35" s="1127">
        <f t="shared" si="3"/>
        <v>950968590.1</v>
      </c>
      <c r="AY35" s="1103">
        <v>2846547332</v>
      </c>
      <c r="AZ35" s="1127">
        <v>2525488945</v>
      </c>
      <c r="BA35" s="1099">
        <f t="shared" si="0"/>
        <v>3906516117.99</v>
      </c>
      <c r="BB35" s="1100">
        <f t="shared" si="1"/>
        <v>3476457535.1</v>
      </c>
    </row>
    <row r="36" spans="1:54" ht="17.25">
      <c r="A36" s="439" t="s">
        <v>313</v>
      </c>
      <c r="B36" s="497"/>
      <c r="C36" s="1111"/>
      <c r="D36" s="1121"/>
      <c r="E36" s="1125">
        <v>810</v>
      </c>
      <c r="F36" s="1127">
        <v>1087</v>
      </c>
      <c r="G36" s="1101">
        <v>5652</v>
      </c>
      <c r="H36" s="1127">
        <v>11595</v>
      </c>
      <c r="I36" s="1101">
        <v>1490519</v>
      </c>
      <c r="J36" s="1127">
        <v>1346832</v>
      </c>
      <c r="K36" s="1101">
        <v>187217</v>
      </c>
      <c r="L36" s="1127"/>
      <c r="M36" s="1101">
        <v>46040</v>
      </c>
      <c r="N36" s="1135">
        <v>17668</v>
      </c>
      <c r="O36" s="1137">
        <v>232</v>
      </c>
      <c r="P36" s="1127">
        <v>223</v>
      </c>
      <c r="Q36" s="1101">
        <v>239</v>
      </c>
      <c r="R36" s="224">
        <v>288</v>
      </c>
      <c r="S36" s="2">
        <v>36637</v>
      </c>
      <c r="T36" s="1127">
        <v>7481</v>
      </c>
      <c r="U36" s="1101">
        <v>18697</v>
      </c>
      <c r="V36" s="1127">
        <v>16205</v>
      </c>
      <c r="W36" s="1101">
        <f>2018182+5922821</f>
        <v>7941003</v>
      </c>
      <c r="X36" s="1127">
        <f>585006+7899387</f>
        <v>8484393</v>
      </c>
      <c r="Y36" s="1101">
        <v>1162311</v>
      </c>
      <c r="Z36" s="1127">
        <v>739550</v>
      </c>
      <c r="AA36" s="1101">
        <v>981</v>
      </c>
      <c r="AB36" s="1146">
        <v>146</v>
      </c>
      <c r="AC36" s="1150"/>
      <c r="AD36" s="1127"/>
      <c r="AE36" s="1101">
        <v>502080</v>
      </c>
      <c r="AF36" s="1127">
        <v>269181</v>
      </c>
      <c r="AG36" s="1101">
        <v>28763</v>
      </c>
      <c r="AH36" s="1127">
        <v>16550</v>
      </c>
      <c r="AI36" s="1101"/>
      <c r="AJ36" s="1127">
        <v>30187</v>
      </c>
      <c r="AK36" s="1101">
        <v>3787</v>
      </c>
      <c r="AL36" s="1127">
        <v>6586</v>
      </c>
      <c r="AM36" s="1101"/>
      <c r="AN36" s="1154"/>
      <c r="AO36" s="1156">
        <v>897709</v>
      </c>
      <c r="AP36" s="1158">
        <v>755865</v>
      </c>
      <c r="AQ36" s="1162">
        <v>3766</v>
      </c>
      <c r="AR36" s="1165">
        <v>3422</v>
      </c>
      <c r="AS36" s="1104">
        <v>232</v>
      </c>
      <c r="AT36" s="1319">
        <v>145</v>
      </c>
      <c r="AU36" s="1150"/>
      <c r="AV36" s="1127"/>
      <c r="AW36" s="1101">
        <f t="shared" si="2"/>
        <v>12326675</v>
      </c>
      <c r="AX36" s="1127">
        <f t="shared" si="3"/>
        <v>11707404</v>
      </c>
      <c r="AY36" s="1103">
        <v>22290733</v>
      </c>
      <c r="AZ36" s="1127">
        <v>16733701</v>
      </c>
      <c r="BA36" s="1099">
        <f t="shared" si="0"/>
        <v>34617408</v>
      </c>
      <c r="BB36" s="1100">
        <f t="shared" si="1"/>
        <v>28441105</v>
      </c>
    </row>
    <row r="37" spans="1:54" ht="17.25">
      <c r="A37" s="439" t="s">
        <v>314</v>
      </c>
      <c r="B37" s="497"/>
      <c r="C37" s="1111">
        <v>67716</v>
      </c>
      <c r="D37" s="1123">
        <v>37828</v>
      </c>
      <c r="E37" s="1126"/>
      <c r="F37" s="1128"/>
      <c r="G37" s="1103"/>
      <c r="H37" s="1128"/>
      <c r="I37" s="1103"/>
      <c r="J37" s="1128"/>
      <c r="K37" s="1103"/>
      <c r="L37" s="1128"/>
      <c r="M37" s="1103"/>
      <c r="N37" s="1136"/>
      <c r="O37" s="1138"/>
      <c r="P37" s="1128"/>
      <c r="Q37" s="1103"/>
      <c r="R37" s="99"/>
      <c r="S37" s="7"/>
      <c r="T37" s="1128"/>
      <c r="U37" s="1103"/>
      <c r="V37" s="1128"/>
      <c r="W37" s="1103"/>
      <c r="X37" s="1128"/>
      <c r="Y37" s="1103"/>
      <c r="Z37" s="1128"/>
      <c r="AA37" s="1103"/>
      <c r="AB37" s="1144"/>
      <c r="AC37" s="1148"/>
      <c r="AD37" s="1128"/>
      <c r="AE37" s="1103"/>
      <c r="AF37" s="1152"/>
      <c r="AG37" s="1153"/>
      <c r="AH37" s="1128"/>
      <c r="AI37" s="1103"/>
      <c r="AJ37" s="1128"/>
      <c r="AK37" s="1103"/>
      <c r="AL37" s="1128"/>
      <c r="AM37" s="1103"/>
      <c r="AN37" s="1154"/>
      <c r="AO37" s="1156"/>
      <c r="AP37" s="1159"/>
      <c r="AQ37" s="1111"/>
      <c r="AR37" s="1165"/>
      <c r="AS37" s="1104"/>
      <c r="AT37" s="1319"/>
      <c r="AU37" s="1150"/>
      <c r="AV37" s="1128"/>
      <c r="AW37" s="1101">
        <f t="shared" si="2"/>
        <v>67716</v>
      </c>
      <c r="AX37" s="1127">
        <f t="shared" si="3"/>
        <v>37828</v>
      </c>
      <c r="AY37" s="1103"/>
      <c r="AZ37" s="1128"/>
      <c r="BA37" s="1099">
        <f t="shared" si="0"/>
        <v>67716</v>
      </c>
      <c r="BB37" s="1100">
        <f t="shared" si="1"/>
        <v>37828</v>
      </c>
    </row>
    <row r="38" spans="1:54" ht="17.25">
      <c r="A38" s="439" t="s">
        <v>315</v>
      </c>
      <c r="B38" s="497"/>
      <c r="C38" s="1111">
        <v>54901607</v>
      </c>
      <c r="D38" s="1121">
        <v>32576366</v>
      </c>
      <c r="E38" s="1125">
        <f>3323940+2433315</f>
        <v>5757255</v>
      </c>
      <c r="F38" s="1127">
        <f>2834951-1542501</f>
        <v>1292450</v>
      </c>
      <c r="G38" s="1101">
        <v>16027120</v>
      </c>
      <c r="H38" s="1127">
        <v>-1983916</v>
      </c>
      <c r="I38" s="1101">
        <v>54525027</v>
      </c>
      <c r="J38" s="1127">
        <v>31609652</v>
      </c>
      <c r="K38" s="1101">
        <v>20497286</v>
      </c>
      <c r="L38" s="1127">
        <v>12597365</v>
      </c>
      <c r="M38" s="1101">
        <v>59518308</v>
      </c>
      <c r="N38" s="1135">
        <v>3599325</v>
      </c>
      <c r="O38" s="1137">
        <v>5808984</v>
      </c>
      <c r="P38" s="1127">
        <v>5484826</v>
      </c>
      <c r="Q38" s="1101">
        <v>13118314</v>
      </c>
      <c r="R38" s="224">
        <v>6161590</v>
      </c>
      <c r="S38" s="2">
        <v>24135360</v>
      </c>
      <c r="T38" s="1127">
        <v>13961502</v>
      </c>
      <c r="U38" s="1101">
        <f>1108023+6476908</f>
        <v>7584931</v>
      </c>
      <c r="V38" s="1127">
        <f>-559482+6345225</f>
        <v>5785743</v>
      </c>
      <c r="W38" s="1101">
        <v>213193049</v>
      </c>
      <c r="X38" s="1127">
        <v>132243857</v>
      </c>
      <c r="Y38" s="1101">
        <v>147641337</v>
      </c>
      <c r="Z38" s="1127">
        <v>156400924</v>
      </c>
      <c r="AA38" s="1101">
        <v>21623197</v>
      </c>
      <c r="AB38" s="1144">
        <v>8109358</v>
      </c>
      <c r="AC38" s="1148">
        <v>2991364.97</v>
      </c>
      <c r="AD38" s="1127">
        <v>-321867.78</v>
      </c>
      <c r="AE38" s="1101">
        <v>46104314</v>
      </c>
      <c r="AF38" s="1127">
        <v>47722865</v>
      </c>
      <c r="AG38" s="1101">
        <v>99629486</v>
      </c>
      <c r="AH38" s="1127">
        <v>70092022</v>
      </c>
      <c r="AI38" s="1101"/>
      <c r="AJ38" s="1127">
        <f>-12695567+31917289</f>
        <v>19221722</v>
      </c>
      <c r="AK38" s="1101">
        <f>17001560+21078522</f>
        <v>38080082</v>
      </c>
      <c r="AL38" s="1127">
        <f>-18096244+21623686</f>
        <v>3527442</v>
      </c>
      <c r="AM38" s="1101"/>
      <c r="AN38" s="1154"/>
      <c r="AO38" s="1156">
        <v>163172600</v>
      </c>
      <c r="AP38" s="1158">
        <v>112744362</v>
      </c>
      <c r="AQ38" s="1162">
        <v>12451468</v>
      </c>
      <c r="AR38" s="1165">
        <v>7528214</v>
      </c>
      <c r="AS38" s="1104">
        <v>19774070</v>
      </c>
      <c r="AT38" s="1319">
        <v>15447059</v>
      </c>
      <c r="AU38" s="1150">
        <f>92420425+69321669</f>
        <v>161742094</v>
      </c>
      <c r="AV38" s="1127">
        <f>46442885-10451677</f>
        <v>35991208</v>
      </c>
      <c r="AW38" s="1101">
        <f t="shared" si="2"/>
        <v>1188277253.97</v>
      </c>
      <c r="AX38" s="1127">
        <f t="shared" si="3"/>
        <v>719792068.22</v>
      </c>
      <c r="AY38" s="1103">
        <v>3217527888</v>
      </c>
      <c r="AZ38" s="1127">
        <v>2952862264</v>
      </c>
      <c r="BA38" s="1099">
        <f t="shared" si="0"/>
        <v>4405805141.97</v>
      </c>
      <c r="BB38" s="1100">
        <f t="shared" si="1"/>
        <v>3672654332.2200003</v>
      </c>
    </row>
    <row r="39" spans="1:54" ht="17.25">
      <c r="A39" s="439" t="s">
        <v>316</v>
      </c>
      <c r="B39" s="497"/>
      <c r="C39" s="1111">
        <v>-1283221</v>
      </c>
      <c r="D39" s="1121">
        <v>-1422965</v>
      </c>
      <c r="E39" s="1125">
        <v>-360580</v>
      </c>
      <c r="F39" s="1127">
        <v>-221460</v>
      </c>
      <c r="G39" s="1101">
        <v>-777443</v>
      </c>
      <c r="H39" s="1127">
        <v>-286554</v>
      </c>
      <c r="I39" s="1101">
        <v>-838878</v>
      </c>
      <c r="J39" s="1127">
        <v>-263205</v>
      </c>
      <c r="K39" s="1101">
        <v>-266900</v>
      </c>
      <c r="L39" s="1127">
        <v>7597</v>
      </c>
      <c r="M39" s="1101">
        <v>-1026782</v>
      </c>
      <c r="N39" s="1135">
        <v>-430873</v>
      </c>
      <c r="O39" s="1137">
        <v>285179</v>
      </c>
      <c r="P39" s="1127">
        <v>85668</v>
      </c>
      <c r="Q39" s="1101">
        <v>-448597</v>
      </c>
      <c r="R39" s="224">
        <v>-80366</v>
      </c>
      <c r="S39" s="2">
        <v>-1322400</v>
      </c>
      <c r="T39" s="1127">
        <v>-565552</v>
      </c>
      <c r="U39" s="1101">
        <v>14449</v>
      </c>
      <c r="V39" s="1127">
        <v>-144506</v>
      </c>
      <c r="W39" s="1101">
        <v>-10670985</v>
      </c>
      <c r="X39" s="1127">
        <v>-15882842</v>
      </c>
      <c r="Y39" s="1101">
        <v>-19041985</v>
      </c>
      <c r="Z39" s="1127">
        <v>-68369014</v>
      </c>
      <c r="AA39" s="1101">
        <v>-1347317</v>
      </c>
      <c r="AB39" s="1144">
        <v>-13072</v>
      </c>
      <c r="AC39" s="1148"/>
      <c r="AD39" s="1127"/>
      <c r="AE39" s="1101">
        <v>-1378158</v>
      </c>
      <c r="AF39" s="1127">
        <v>-792300</v>
      </c>
      <c r="AG39" s="1101">
        <v>80492697</v>
      </c>
      <c r="AH39" s="1127">
        <v>-9247606</v>
      </c>
      <c r="AI39" s="1101"/>
      <c r="AJ39" s="1127">
        <v>-242325</v>
      </c>
      <c r="AK39" s="1101"/>
      <c r="AL39" s="1127"/>
      <c r="AM39" s="1101"/>
      <c r="AN39" s="1154"/>
      <c r="AO39" s="1156">
        <v>-462916</v>
      </c>
      <c r="AP39" s="1158">
        <v>-383091</v>
      </c>
      <c r="AQ39" s="1162"/>
      <c r="AR39" s="1165"/>
      <c r="AS39" s="1104">
        <v>-205994</v>
      </c>
      <c r="AT39" s="1319">
        <v>-5893</v>
      </c>
      <c r="AU39" s="1150">
        <v>-23421889</v>
      </c>
      <c r="AV39" s="1127">
        <v>-7602871</v>
      </c>
      <c r="AW39" s="1101">
        <f t="shared" si="2"/>
        <v>17938280</v>
      </c>
      <c r="AX39" s="1127">
        <f t="shared" si="3"/>
        <v>-105861230</v>
      </c>
      <c r="AY39" s="1103"/>
      <c r="AZ39" s="1127"/>
      <c r="BA39" s="1099">
        <f t="shared" si="0"/>
        <v>17938280</v>
      </c>
      <c r="BB39" s="1100">
        <f t="shared" si="1"/>
        <v>-105861230</v>
      </c>
    </row>
    <row r="40" spans="1:54" ht="17.25">
      <c r="A40" s="439" t="s">
        <v>317</v>
      </c>
      <c r="B40" s="497"/>
      <c r="C40" s="1111"/>
      <c r="D40" s="1121"/>
      <c r="E40" s="1125"/>
      <c r="F40" s="1127"/>
      <c r="G40" s="1101"/>
      <c r="H40" s="1127"/>
      <c r="I40" s="1101"/>
      <c r="J40" s="1127"/>
      <c r="K40" s="1101"/>
      <c r="L40" s="1127"/>
      <c r="M40" s="1101"/>
      <c r="N40" s="1135"/>
      <c r="O40" s="1137"/>
      <c r="P40" s="1127"/>
      <c r="Q40" s="1101"/>
      <c r="R40" s="224"/>
      <c r="S40" s="2"/>
      <c r="T40" s="1127"/>
      <c r="U40" s="1101"/>
      <c r="V40" s="1127"/>
      <c r="W40" s="1101"/>
      <c r="X40" s="1127"/>
      <c r="Y40" s="1101"/>
      <c r="Z40" s="1127"/>
      <c r="AA40" s="1101"/>
      <c r="AB40" s="1144"/>
      <c r="AC40" s="1148"/>
      <c r="AD40" s="1127"/>
      <c r="AE40" s="1101"/>
      <c r="AF40" s="1127"/>
      <c r="AG40" s="1101"/>
      <c r="AH40" s="1127"/>
      <c r="AI40" s="1101"/>
      <c r="AJ40" s="1127"/>
      <c r="AK40" s="1101"/>
      <c r="AL40" s="1127"/>
      <c r="AM40" s="1101"/>
      <c r="AN40" s="1154"/>
      <c r="AO40" s="1156"/>
      <c r="AP40" s="1159"/>
      <c r="AQ40" s="1111"/>
      <c r="AR40" s="1165"/>
      <c r="AS40" s="1104"/>
      <c r="AT40" s="1319"/>
      <c r="AU40" s="1150"/>
      <c r="AV40" s="1127"/>
      <c r="AW40" s="1101">
        <f t="shared" si="2"/>
        <v>0</v>
      </c>
      <c r="AX40" s="1127">
        <f t="shared" si="3"/>
        <v>0</v>
      </c>
      <c r="AY40" s="1103"/>
      <c r="AZ40" s="1127"/>
      <c r="BA40" s="1099">
        <f t="shared" si="0"/>
        <v>0</v>
      </c>
      <c r="BB40" s="1100">
        <f t="shared" si="1"/>
        <v>0</v>
      </c>
    </row>
    <row r="41" spans="1:54" ht="17.25">
      <c r="A41" s="439" t="s">
        <v>318</v>
      </c>
      <c r="B41" s="497"/>
      <c r="C41" s="1111">
        <f>48664957+2759016</f>
        <v>51423973</v>
      </c>
      <c r="D41" s="1121">
        <f>-24257361+866822</f>
        <v>-23390539</v>
      </c>
      <c r="E41" s="1125"/>
      <c r="F41" s="1127"/>
      <c r="G41" s="1101"/>
      <c r="H41" s="1127"/>
      <c r="I41" s="1101">
        <v>87396659</v>
      </c>
      <c r="J41" s="1127">
        <v>-36805767</v>
      </c>
      <c r="K41" s="1101"/>
      <c r="L41" s="1127"/>
      <c r="M41" s="1101"/>
      <c r="N41" s="1135"/>
      <c r="O41" s="1137"/>
      <c r="P41" s="1127"/>
      <c r="Q41" s="1101"/>
      <c r="R41" s="224"/>
      <c r="S41" s="2"/>
      <c r="T41" s="1127"/>
      <c r="U41" s="1101"/>
      <c r="V41" s="1127"/>
      <c r="W41" s="1101">
        <v>201193346</v>
      </c>
      <c r="X41" s="1127">
        <v>-96770634</v>
      </c>
      <c r="Y41" s="1101">
        <v>397336440</v>
      </c>
      <c r="Z41" s="1127">
        <v>-156631002</v>
      </c>
      <c r="AA41" s="1101"/>
      <c r="AB41" s="1144"/>
      <c r="AC41" s="1148">
        <v>18452156.34</v>
      </c>
      <c r="AD41" s="1127">
        <v>-3485848.59</v>
      </c>
      <c r="AE41" s="1101"/>
      <c r="AF41" s="1127"/>
      <c r="AG41" s="1101"/>
      <c r="AH41" s="1127"/>
      <c r="AI41" s="1101"/>
      <c r="AJ41" s="1127"/>
      <c r="AK41" s="1101"/>
      <c r="AM41" s="1101"/>
      <c r="AN41" s="1154"/>
      <c r="AO41" s="1156">
        <v>357633543</v>
      </c>
      <c r="AP41" s="1158">
        <v>76875133</v>
      </c>
      <c r="AQ41" s="1162"/>
      <c r="AR41" s="1165"/>
      <c r="AS41" s="1104"/>
      <c r="AT41" s="1319"/>
      <c r="AU41" s="1150"/>
      <c r="AV41" s="1127"/>
      <c r="AW41" s="1101">
        <f t="shared" si="2"/>
        <v>1113436117.3400002</v>
      </c>
      <c r="AX41" s="1127">
        <f>SUM(D41+F41+H41+J41+L41+N41+P41+R41+T41+V41+X41+Z41+AB41+AD41+AF41+AH41+AJ41+AL38+AN41+AP41+AR41+AT41+AV41)</f>
        <v>-236681215.58999997</v>
      </c>
      <c r="AY41" s="1103"/>
      <c r="AZ41" s="1127"/>
      <c r="BA41" s="1099">
        <f t="shared" si="0"/>
        <v>1113436117.3400002</v>
      </c>
      <c r="BB41" s="1100">
        <f t="shared" si="1"/>
        <v>-236681215.58999997</v>
      </c>
    </row>
    <row r="42" spans="1:54" ht="17.25">
      <c r="A42" s="439" t="s">
        <v>319</v>
      </c>
      <c r="B42" s="497"/>
      <c r="C42" s="1111"/>
      <c r="D42" s="1123"/>
      <c r="E42" s="1126"/>
      <c r="F42" s="1128"/>
      <c r="G42" s="1103">
        <v>417241</v>
      </c>
      <c r="H42" s="1128">
        <v>-145203</v>
      </c>
      <c r="I42" s="1103">
        <v>5590490</v>
      </c>
      <c r="J42" s="1128">
        <v>3108218</v>
      </c>
      <c r="K42" s="1103"/>
      <c r="L42" s="1128"/>
      <c r="M42" s="1103"/>
      <c r="N42" s="1136"/>
      <c r="O42" s="1138"/>
      <c r="P42" s="1128"/>
      <c r="Q42" s="1103"/>
      <c r="R42" s="99"/>
      <c r="S42" s="7"/>
      <c r="T42" s="1128"/>
      <c r="U42" s="1103"/>
      <c r="V42" s="1128"/>
      <c r="W42" s="1103">
        <v>4580844</v>
      </c>
      <c r="X42" s="1128">
        <v>4817243</v>
      </c>
      <c r="Y42" s="1103">
        <v>17305224</v>
      </c>
      <c r="Z42" s="1128">
        <v>18029747</v>
      </c>
      <c r="AA42" s="1103"/>
      <c r="AB42" s="1144"/>
      <c r="AC42" s="1148">
        <v>1043626.55</v>
      </c>
      <c r="AD42" s="1128">
        <v>584393.19</v>
      </c>
      <c r="AE42" s="1103"/>
      <c r="AF42" s="1152"/>
      <c r="AG42" s="1153">
        <v>11601901</v>
      </c>
      <c r="AH42" s="1128">
        <v>5549892</v>
      </c>
      <c r="AI42" s="1103"/>
      <c r="AJ42" s="1128"/>
      <c r="AK42" s="1103"/>
      <c r="AL42" s="1128"/>
      <c r="AM42" s="1103"/>
      <c r="AN42" s="1154"/>
      <c r="AO42" s="1156">
        <v>18998376</v>
      </c>
      <c r="AP42" s="1158">
        <v>16812209</v>
      </c>
      <c r="AQ42" s="1162"/>
      <c r="AR42" s="1165"/>
      <c r="AS42" s="1104">
        <v>279325</v>
      </c>
      <c r="AT42" s="1322">
        <v>-1428371</v>
      </c>
      <c r="AU42" s="1101"/>
      <c r="AV42" s="1128"/>
      <c r="AW42" s="1101">
        <f t="shared" si="2"/>
        <v>59817027.55</v>
      </c>
      <c r="AX42" s="1127">
        <f t="shared" si="3"/>
        <v>47328128.19</v>
      </c>
      <c r="AY42" s="1103">
        <v>54413</v>
      </c>
      <c r="AZ42" s="1128">
        <v>34626</v>
      </c>
      <c r="BA42" s="1099">
        <f t="shared" si="0"/>
        <v>59871440.55</v>
      </c>
      <c r="BB42" s="1100">
        <f t="shared" si="1"/>
        <v>47362754.19</v>
      </c>
    </row>
    <row r="43" spans="1:54" ht="17.25">
      <c r="A43" s="439" t="s">
        <v>359</v>
      </c>
      <c r="B43" s="497"/>
      <c r="C43" s="1111"/>
      <c r="D43" s="1123"/>
      <c r="E43" s="1126"/>
      <c r="F43" s="1128"/>
      <c r="G43" s="1103"/>
      <c r="H43" s="1128"/>
      <c r="I43" s="1103"/>
      <c r="J43" s="1128"/>
      <c r="K43" s="1103"/>
      <c r="L43" s="1128"/>
      <c r="M43" s="1103"/>
      <c r="N43" s="1136"/>
      <c r="O43" s="1138"/>
      <c r="P43" s="1128"/>
      <c r="Q43" s="1103"/>
      <c r="R43" s="99"/>
      <c r="S43" s="7"/>
      <c r="T43" s="1128"/>
      <c r="U43" s="1103"/>
      <c r="V43" s="1128"/>
      <c r="W43" s="1103"/>
      <c r="X43" s="1128"/>
      <c r="Y43" s="1103"/>
      <c r="Z43" s="1128"/>
      <c r="AA43" s="1103"/>
      <c r="AB43" s="1144"/>
      <c r="AC43" s="1148"/>
      <c r="AD43" s="1128"/>
      <c r="AE43" s="1103">
        <v>60258677</v>
      </c>
      <c r="AF43" s="1152">
        <v>-5920953</v>
      </c>
      <c r="AG43" s="1153"/>
      <c r="AH43" s="1128"/>
      <c r="AI43" s="1103"/>
      <c r="AJ43" s="1128"/>
      <c r="AK43" s="1103"/>
      <c r="AL43" s="1128"/>
      <c r="AM43" s="1103"/>
      <c r="AN43" s="1154"/>
      <c r="AO43" s="1156"/>
      <c r="AP43" s="1158"/>
      <c r="AQ43" s="1162"/>
      <c r="AR43" s="1165"/>
      <c r="AS43" s="1104">
        <v>5090689</v>
      </c>
      <c r="AT43" s="1322">
        <v>-5130656</v>
      </c>
      <c r="AU43" s="1101"/>
      <c r="AV43" s="1128"/>
      <c r="AW43" s="1101">
        <f t="shared" si="2"/>
        <v>65349366</v>
      </c>
      <c r="AX43" s="1127">
        <f t="shared" si="3"/>
        <v>-11051609</v>
      </c>
      <c r="AY43" s="1103">
        <v>4343100</v>
      </c>
      <c r="AZ43" s="1128">
        <v>-91103396</v>
      </c>
      <c r="BA43" s="1099">
        <f t="shared" si="0"/>
        <v>69692466</v>
      </c>
      <c r="BB43" s="1100">
        <f t="shared" si="1"/>
        <v>-102155005</v>
      </c>
    </row>
    <row r="44" spans="1:54" ht="17.25">
      <c r="A44" s="439" t="s">
        <v>363</v>
      </c>
      <c r="B44" s="497"/>
      <c r="C44" s="1111"/>
      <c r="D44" s="1123"/>
      <c r="E44" s="1126"/>
      <c r="F44" s="1128"/>
      <c r="G44" s="1103"/>
      <c r="H44" s="1128"/>
      <c r="I44" s="1103">
        <v>-19894</v>
      </c>
      <c r="J44" s="1128"/>
      <c r="K44" s="1103"/>
      <c r="L44" s="1128"/>
      <c r="M44" s="1103"/>
      <c r="N44" s="1136"/>
      <c r="O44" s="1138"/>
      <c r="P44" s="1128"/>
      <c r="Q44" s="1103"/>
      <c r="R44" s="99"/>
      <c r="S44" s="7"/>
      <c r="T44" s="1128"/>
      <c r="U44" s="1103"/>
      <c r="V44" s="1128"/>
      <c r="W44" s="1103"/>
      <c r="X44" s="1128"/>
      <c r="Y44" s="1103"/>
      <c r="Z44" s="1128"/>
      <c r="AA44" s="1103"/>
      <c r="AB44" s="1144"/>
      <c r="AC44" s="1148"/>
      <c r="AD44" s="1128"/>
      <c r="AE44" s="1103"/>
      <c r="AF44" s="1152"/>
      <c r="AG44" s="1153"/>
      <c r="AH44" s="1128"/>
      <c r="AI44" s="1103"/>
      <c r="AJ44" s="1128"/>
      <c r="AK44" s="1103"/>
      <c r="AL44" s="1128"/>
      <c r="AM44" s="1103"/>
      <c r="AN44" s="1154"/>
      <c r="AO44" s="1156"/>
      <c r="AP44" s="1158"/>
      <c r="AQ44" s="1162"/>
      <c r="AR44" s="1165"/>
      <c r="AS44" s="1104"/>
      <c r="AT44" s="1322"/>
      <c r="AU44" s="1101"/>
      <c r="AV44" s="1128"/>
      <c r="AW44" s="1101">
        <f t="shared" si="2"/>
        <v>-19894</v>
      </c>
      <c r="AX44" s="1127">
        <f t="shared" si="3"/>
        <v>0</v>
      </c>
      <c r="AY44" s="1103"/>
      <c r="AZ44" s="1128"/>
      <c r="BA44" s="1099">
        <f t="shared" si="0"/>
        <v>-19894</v>
      </c>
      <c r="BB44" s="1100">
        <f t="shared" si="1"/>
        <v>0</v>
      </c>
    </row>
    <row r="45" spans="1:54" s="715" customFormat="1" ht="18">
      <c r="A45" s="493" t="s">
        <v>320</v>
      </c>
      <c r="B45" s="714"/>
      <c r="C45" s="1114">
        <v>152955379</v>
      </c>
      <c r="D45" s="1123">
        <v>63261567</v>
      </c>
      <c r="E45" s="1126">
        <v>8493740</v>
      </c>
      <c r="F45" s="1128">
        <v>3874877</v>
      </c>
      <c r="G45" s="1103">
        <v>25605726</v>
      </c>
      <c r="H45" s="1128">
        <v>8499748</v>
      </c>
      <c r="I45" s="1103">
        <v>209226435</v>
      </c>
      <c r="J45" s="1128">
        <v>65804019</v>
      </c>
      <c r="K45" s="1103">
        <v>25924037</v>
      </c>
      <c r="L45" s="1128">
        <v>16543803</v>
      </c>
      <c r="M45" s="1103">
        <v>79072228</v>
      </c>
      <c r="N45" s="1136">
        <v>20413098</v>
      </c>
      <c r="O45" s="1138">
        <v>9950683</v>
      </c>
      <c r="P45" s="1128">
        <v>9508110</v>
      </c>
      <c r="Q45" s="1103">
        <v>14315839</v>
      </c>
      <c r="R45" s="369">
        <v>6961644</v>
      </c>
      <c r="S45" s="964">
        <v>40060034</v>
      </c>
      <c r="T45" s="1128">
        <v>28022409</v>
      </c>
      <c r="U45" s="1103">
        <v>12637280</v>
      </c>
      <c r="V45" s="1128">
        <v>10202617</v>
      </c>
      <c r="W45" s="1103">
        <v>634043970</v>
      </c>
      <c r="X45" s="1128">
        <v>214622395</v>
      </c>
      <c r="Y45" s="1103">
        <v>769649950</v>
      </c>
      <c r="Z45" s="1128">
        <v>143196654</v>
      </c>
      <c r="AA45" s="1103">
        <v>29793285</v>
      </c>
      <c r="AB45" s="1147">
        <v>15069521</v>
      </c>
      <c r="AC45" s="1151">
        <v>55758069.85</v>
      </c>
      <c r="AD45" s="1128">
        <v>27715774.92</v>
      </c>
      <c r="AE45" s="1103">
        <v>146485927</v>
      </c>
      <c r="AF45" s="1128">
        <v>77001073</v>
      </c>
      <c r="AG45" s="1103">
        <v>266234439</v>
      </c>
      <c r="AH45" s="1128">
        <v>132615980</v>
      </c>
      <c r="AI45" s="1103"/>
      <c r="AJ45" s="1128">
        <v>42845003</v>
      </c>
      <c r="AK45" s="1103">
        <v>65851385</v>
      </c>
      <c r="AL45" s="1128">
        <v>34371321</v>
      </c>
      <c r="AM45" s="1103"/>
      <c r="AN45" s="1155"/>
      <c r="AO45" s="1157">
        <v>755168067</v>
      </c>
      <c r="AP45" s="1160">
        <v>368557940</v>
      </c>
      <c r="AQ45" s="1163">
        <v>18038546</v>
      </c>
      <c r="AR45" s="1166">
        <v>12482353</v>
      </c>
      <c r="AS45" s="1167">
        <v>36308355</v>
      </c>
      <c r="AT45" s="1321">
        <v>19231915</v>
      </c>
      <c r="AU45" s="1151">
        <v>166085332</v>
      </c>
      <c r="AV45" s="1128">
        <v>52062981</v>
      </c>
      <c r="AW45" s="1101">
        <f t="shared" si="2"/>
        <v>3521658706.85</v>
      </c>
      <c r="AX45" s="1127">
        <f t="shared" si="3"/>
        <v>1372864802.92</v>
      </c>
      <c r="AY45" s="1103">
        <v>6090794721</v>
      </c>
      <c r="AZ45" s="1128">
        <v>5404016555</v>
      </c>
      <c r="BA45" s="1099">
        <f t="shared" si="0"/>
        <v>9612453427.85</v>
      </c>
      <c r="BB45" s="1100">
        <f t="shared" si="1"/>
        <v>6776881357.92</v>
      </c>
    </row>
    <row r="46" spans="1:54" s="715" customFormat="1" ht="18">
      <c r="A46" s="493" t="s">
        <v>321</v>
      </c>
      <c r="B46" s="714"/>
      <c r="C46" s="1114">
        <v>1179004</v>
      </c>
      <c r="D46" s="1123">
        <v>2018433</v>
      </c>
      <c r="E46" s="1126">
        <v>-292280</v>
      </c>
      <c r="F46" s="1128">
        <v>-4387</v>
      </c>
      <c r="G46" s="1103">
        <v>282977</v>
      </c>
      <c r="H46" s="1128">
        <v>442333</v>
      </c>
      <c r="I46" s="1103">
        <v>6102916</v>
      </c>
      <c r="J46" s="1128">
        <v>4788493</v>
      </c>
      <c r="K46" s="1103">
        <v>368903</v>
      </c>
      <c r="L46" s="1128">
        <v>1013515</v>
      </c>
      <c r="M46" s="1103">
        <v>4743311</v>
      </c>
      <c r="N46" s="1136">
        <v>2110921</v>
      </c>
      <c r="O46" s="1138">
        <v>1739209</v>
      </c>
      <c r="P46" s="1128">
        <v>2043244</v>
      </c>
      <c r="Q46" s="1103">
        <v>34867</v>
      </c>
      <c r="R46" s="99">
        <v>241004</v>
      </c>
      <c r="S46" s="7">
        <v>1205480</v>
      </c>
      <c r="T46" s="1128">
        <v>3511975</v>
      </c>
      <c r="U46" s="1103">
        <v>944153</v>
      </c>
      <c r="V46" s="1128">
        <v>2362531</v>
      </c>
      <c r="W46" s="1103">
        <v>10984448</v>
      </c>
      <c r="X46" s="1128">
        <v>9714152</v>
      </c>
      <c r="Y46" s="1103">
        <v>22472245</v>
      </c>
      <c r="Z46" s="1128">
        <v>23183988</v>
      </c>
      <c r="AA46" s="1103">
        <v>1497554</v>
      </c>
      <c r="AB46" s="1147">
        <v>1691273</v>
      </c>
      <c r="AC46" s="1151">
        <v>1809774.92</v>
      </c>
      <c r="AD46" s="1128">
        <v>924403.31</v>
      </c>
      <c r="AE46" s="1103">
        <v>5494525</v>
      </c>
      <c r="AF46" s="1128">
        <v>4340791</v>
      </c>
      <c r="AG46" s="1103">
        <v>2216514</v>
      </c>
      <c r="AH46" s="1128">
        <v>12915969</v>
      </c>
      <c r="AI46" s="1103"/>
      <c r="AJ46" s="1128">
        <v>2214349</v>
      </c>
      <c r="AK46" s="1103">
        <v>2809801</v>
      </c>
      <c r="AL46" s="1128">
        <v>2507381</v>
      </c>
      <c r="AM46" s="1103"/>
      <c r="AN46" s="1155"/>
      <c r="AO46" s="1157">
        <v>18074205</v>
      </c>
      <c r="AP46" s="1160">
        <v>18946979</v>
      </c>
      <c r="AQ46" s="1163">
        <v>830395</v>
      </c>
      <c r="AR46" s="1166">
        <v>1116752</v>
      </c>
      <c r="AS46" s="1167">
        <v>608464</v>
      </c>
      <c r="AT46" s="1321">
        <v>898292</v>
      </c>
      <c r="AU46" s="1151">
        <v>5029119</v>
      </c>
      <c r="AV46" s="1128">
        <v>5789871</v>
      </c>
      <c r="AW46" s="1101">
        <f t="shared" si="2"/>
        <v>88135584.92</v>
      </c>
      <c r="AX46" s="1127">
        <f t="shared" si="3"/>
        <v>102772262.31</v>
      </c>
      <c r="AY46" s="1103">
        <v>28890101</v>
      </c>
      <c r="AZ46" s="1128">
        <v>26977429</v>
      </c>
      <c r="BA46" s="1099">
        <f t="shared" si="0"/>
        <v>117025685.92</v>
      </c>
      <c r="BB46" s="1100">
        <f t="shared" si="1"/>
        <v>129749691.31</v>
      </c>
    </row>
    <row r="47" spans="1:54" ht="17.25">
      <c r="A47" s="493" t="s">
        <v>517</v>
      </c>
      <c r="B47" s="497"/>
      <c r="C47" s="1111"/>
      <c r="D47" s="1123"/>
      <c r="E47" s="1126"/>
      <c r="F47" s="1127"/>
      <c r="G47" s="1101"/>
      <c r="H47" s="1127"/>
      <c r="I47" s="1101">
        <v>-226932</v>
      </c>
      <c r="J47" s="1127">
        <v>-234618</v>
      </c>
      <c r="K47" s="1101"/>
      <c r="L47" s="1127"/>
      <c r="M47" s="1101"/>
      <c r="N47" s="1135"/>
      <c r="O47" s="1137"/>
      <c r="P47" s="1127"/>
      <c r="Q47" s="1101"/>
      <c r="R47" s="99"/>
      <c r="S47" s="7"/>
      <c r="T47" s="1127"/>
      <c r="U47" s="1101"/>
      <c r="V47" s="1127"/>
      <c r="W47" s="1101"/>
      <c r="X47" s="1127"/>
      <c r="Y47" s="1101">
        <v>-1418455</v>
      </c>
      <c r="Z47" s="1127">
        <v>-1313915</v>
      </c>
      <c r="AA47" s="1101">
        <v>191013</v>
      </c>
      <c r="AB47" s="1146">
        <v>168049</v>
      </c>
      <c r="AC47" s="1150"/>
      <c r="AD47" s="1127"/>
      <c r="AE47" s="1101"/>
      <c r="AF47" s="1127"/>
      <c r="AG47" s="1101"/>
      <c r="AH47" s="1127"/>
      <c r="AI47" s="1101"/>
      <c r="AJ47" s="1127"/>
      <c r="AK47" s="1101"/>
      <c r="AL47" s="1127"/>
      <c r="AM47" s="1101"/>
      <c r="AN47" s="1154"/>
      <c r="AO47" s="1156"/>
      <c r="AP47" s="1160"/>
      <c r="AQ47" s="1163"/>
      <c r="AR47" s="1165"/>
      <c r="AS47" s="1104"/>
      <c r="AT47" s="1319"/>
      <c r="AU47" s="1150"/>
      <c r="AV47" s="1127"/>
      <c r="AW47" s="1101">
        <f t="shared" si="2"/>
        <v>-1454374</v>
      </c>
      <c r="AX47" s="1127">
        <f t="shared" si="3"/>
        <v>-1380484</v>
      </c>
      <c r="AY47" s="1103"/>
      <c r="AZ47" s="1127"/>
      <c r="BA47" s="1099">
        <f t="shared" si="0"/>
        <v>-1454374</v>
      </c>
      <c r="BB47" s="1100">
        <f t="shared" si="1"/>
        <v>-1380484</v>
      </c>
    </row>
    <row r="48" spans="1:54" ht="17.25">
      <c r="A48" s="493" t="s">
        <v>322</v>
      </c>
      <c r="B48" s="497"/>
      <c r="C48" s="1111"/>
      <c r="D48" s="1121"/>
      <c r="E48" s="1125"/>
      <c r="F48" s="1127"/>
      <c r="G48" s="1101"/>
      <c r="H48" s="1127"/>
      <c r="I48" s="1101"/>
      <c r="J48" s="1127"/>
      <c r="K48" s="1101"/>
      <c r="L48" s="1127"/>
      <c r="M48" s="1101"/>
      <c r="N48" s="1135"/>
      <c r="O48" s="1137"/>
      <c r="P48" s="1127"/>
      <c r="Q48" s="1101"/>
      <c r="R48" s="224"/>
      <c r="S48" s="2"/>
      <c r="T48" s="1127"/>
      <c r="U48" s="1101"/>
      <c r="V48" s="1127"/>
      <c r="W48" s="1101"/>
      <c r="X48" s="1127"/>
      <c r="Y48" s="1101"/>
      <c r="Z48" s="1127">
        <v>-446</v>
      </c>
      <c r="AA48" s="1101"/>
      <c r="AB48" s="1146"/>
      <c r="AC48" s="1150"/>
      <c r="AD48" s="1127"/>
      <c r="AE48" s="1101"/>
      <c r="AF48" s="1127"/>
      <c r="AG48" s="1101"/>
      <c r="AH48" s="1127"/>
      <c r="AI48" s="1101"/>
      <c r="AJ48" s="1127"/>
      <c r="AK48" s="1101"/>
      <c r="AL48" s="1127"/>
      <c r="AM48" s="1101"/>
      <c r="AN48" s="1154"/>
      <c r="AO48" s="1156"/>
      <c r="AP48" s="1159"/>
      <c r="AQ48" s="1111"/>
      <c r="AR48" s="1165"/>
      <c r="AS48" s="1104"/>
      <c r="AT48" s="1319"/>
      <c r="AU48" s="1150"/>
      <c r="AV48" s="1127"/>
      <c r="AW48" s="1101">
        <f t="shared" si="2"/>
        <v>0</v>
      </c>
      <c r="AX48" s="1127">
        <f t="shared" si="3"/>
        <v>-446</v>
      </c>
      <c r="AY48" s="1103"/>
      <c r="AZ48" s="1127"/>
      <c r="BA48" s="1099">
        <f t="shared" si="0"/>
        <v>0</v>
      </c>
      <c r="BB48" s="1100">
        <f t="shared" si="1"/>
        <v>-446</v>
      </c>
    </row>
    <row r="49" spans="1:54" ht="17.25">
      <c r="A49" s="493" t="s">
        <v>367</v>
      </c>
      <c r="B49" s="497"/>
      <c r="C49" s="1111"/>
      <c r="D49" s="1121"/>
      <c r="E49" s="1125"/>
      <c r="F49" s="1127"/>
      <c r="G49" s="1101"/>
      <c r="H49" s="1127"/>
      <c r="I49" s="1101"/>
      <c r="J49" s="1127"/>
      <c r="K49" s="1101"/>
      <c r="L49" s="1127"/>
      <c r="M49" s="1101"/>
      <c r="N49" s="1135"/>
      <c r="O49" s="1137"/>
      <c r="P49" s="1127"/>
      <c r="Q49" s="1101"/>
      <c r="R49" s="224"/>
      <c r="S49" s="2"/>
      <c r="T49" s="1127"/>
      <c r="U49" s="1101"/>
      <c r="V49" s="1127"/>
      <c r="W49" s="1101"/>
      <c r="X49" s="1127"/>
      <c r="Y49" s="1101"/>
      <c r="Z49" s="1127"/>
      <c r="AA49" s="1101"/>
      <c r="AB49" s="1146"/>
      <c r="AC49" s="1150"/>
      <c r="AD49" s="1127"/>
      <c r="AE49" s="1101"/>
      <c r="AF49" s="1127"/>
      <c r="AG49" s="1101"/>
      <c r="AH49" s="1127"/>
      <c r="AI49" s="1101"/>
      <c r="AJ49" s="1127"/>
      <c r="AK49" s="1101"/>
      <c r="AL49" s="1127"/>
      <c r="AM49" s="1101"/>
      <c r="AN49" s="1154"/>
      <c r="AO49" s="1156"/>
      <c r="AP49" s="1159"/>
      <c r="AQ49" s="1111"/>
      <c r="AR49" s="1165"/>
      <c r="AS49" s="1104"/>
      <c r="AT49" s="1319"/>
      <c r="AU49" s="1150"/>
      <c r="AV49" s="1127"/>
      <c r="AW49" s="1101">
        <f t="shared" si="2"/>
        <v>0</v>
      </c>
      <c r="AX49" s="1127">
        <f t="shared" si="3"/>
        <v>0</v>
      </c>
      <c r="AY49" s="1103"/>
      <c r="AZ49" s="1127"/>
      <c r="BA49" s="1099">
        <f t="shared" si="0"/>
        <v>0</v>
      </c>
      <c r="BB49" s="1100">
        <f t="shared" si="1"/>
        <v>0</v>
      </c>
    </row>
    <row r="50" spans="1:54" ht="17.25">
      <c r="A50" s="439" t="s">
        <v>323</v>
      </c>
      <c r="B50" s="497"/>
      <c r="C50" s="1111"/>
      <c r="D50" s="1121"/>
      <c r="E50" s="1125"/>
      <c r="F50" s="1127"/>
      <c r="G50" s="1101"/>
      <c r="H50" s="1127"/>
      <c r="I50" s="1101"/>
      <c r="J50" s="1127"/>
      <c r="K50" s="1101"/>
      <c r="L50" s="1127"/>
      <c r="M50" s="1101"/>
      <c r="N50" s="1135"/>
      <c r="O50" s="1137"/>
      <c r="P50" s="1127"/>
      <c r="Q50" s="1101"/>
      <c r="R50" s="224"/>
      <c r="S50" s="2"/>
      <c r="T50" s="1127"/>
      <c r="U50" s="1101"/>
      <c r="V50" s="1127"/>
      <c r="W50" s="1101"/>
      <c r="X50" s="1127"/>
      <c r="Y50" s="1101"/>
      <c r="Z50" s="1127"/>
      <c r="AA50" s="1101"/>
      <c r="AB50" s="1146"/>
      <c r="AC50" s="1150"/>
      <c r="AD50" s="1127"/>
      <c r="AE50" s="1101"/>
      <c r="AF50" s="1127"/>
      <c r="AG50" s="1101">
        <v>501871</v>
      </c>
      <c r="AH50" s="1127">
        <v>238744</v>
      </c>
      <c r="AI50" s="1101"/>
      <c r="AJ50" s="1127"/>
      <c r="AK50" s="1101"/>
      <c r="AL50" s="1127"/>
      <c r="AM50" s="1101"/>
      <c r="AN50" s="1154"/>
      <c r="AO50" s="1156"/>
      <c r="AP50" s="1158"/>
      <c r="AQ50" s="1162"/>
      <c r="AR50" s="1165"/>
      <c r="AS50" s="1104"/>
      <c r="AT50" s="1319"/>
      <c r="AU50" s="1150"/>
      <c r="AV50" s="1127"/>
      <c r="AW50" s="1101">
        <f t="shared" si="2"/>
        <v>501871</v>
      </c>
      <c r="AX50" s="1127">
        <f t="shared" si="3"/>
        <v>238744</v>
      </c>
      <c r="AY50" s="1103"/>
      <c r="AZ50" s="1127"/>
      <c r="BA50" s="1099">
        <f t="shared" si="0"/>
        <v>501871</v>
      </c>
      <c r="BB50" s="1100">
        <f t="shared" si="1"/>
        <v>238744</v>
      </c>
    </row>
    <row r="51" spans="1:54" ht="17.25">
      <c r="A51" s="493" t="s">
        <v>143</v>
      </c>
      <c r="B51" s="497"/>
      <c r="C51" s="1111"/>
      <c r="D51" s="1123"/>
      <c r="E51" s="1126"/>
      <c r="F51" s="1128"/>
      <c r="G51" s="1103"/>
      <c r="H51" s="1128"/>
      <c r="I51" s="1103"/>
      <c r="J51" s="1128"/>
      <c r="K51" s="1103"/>
      <c r="L51" s="1128"/>
      <c r="M51" s="1103"/>
      <c r="N51" s="1136"/>
      <c r="O51" s="1138"/>
      <c r="P51" s="1128"/>
      <c r="Q51" s="1103"/>
      <c r="R51" s="99"/>
      <c r="S51" s="7"/>
      <c r="T51" s="1128"/>
      <c r="U51" s="1103"/>
      <c r="V51" s="1128"/>
      <c r="W51" s="1103"/>
      <c r="X51" s="1128"/>
      <c r="Y51" s="1103"/>
      <c r="Z51" s="1128"/>
      <c r="AA51" s="1103"/>
      <c r="AB51" s="1127"/>
      <c r="AC51" s="1101"/>
      <c r="AD51" s="1128"/>
      <c r="AE51" s="1103"/>
      <c r="AF51" s="1152"/>
      <c r="AG51" s="1153"/>
      <c r="AH51" s="1128"/>
      <c r="AI51" s="1103"/>
      <c r="AJ51" s="1128"/>
      <c r="AK51" s="1103"/>
      <c r="AL51" s="1128"/>
      <c r="AM51" s="1103"/>
      <c r="AN51" s="1154"/>
      <c r="AO51" s="1156"/>
      <c r="AP51" s="1159"/>
      <c r="AQ51" s="1111">
        <v>1143110</v>
      </c>
      <c r="AR51" s="1165">
        <v>1198384</v>
      </c>
      <c r="AS51" s="1104"/>
      <c r="AT51" s="1322"/>
      <c r="AU51" s="1101"/>
      <c r="AV51" s="1128"/>
      <c r="AW51" s="1101">
        <f t="shared" si="2"/>
        <v>1143110</v>
      </c>
      <c r="AX51" s="1127">
        <f t="shared" si="3"/>
        <v>1198384</v>
      </c>
      <c r="AY51" s="1103"/>
      <c r="AZ51" s="1128"/>
      <c r="BA51" s="1099">
        <f t="shared" si="0"/>
        <v>1143110</v>
      </c>
      <c r="BB51" s="1100">
        <f t="shared" si="1"/>
        <v>1198384</v>
      </c>
    </row>
    <row r="52" spans="1:54" ht="17.25">
      <c r="A52" s="439" t="s">
        <v>324</v>
      </c>
      <c r="B52" s="497"/>
      <c r="C52" s="1111">
        <v>1294061</v>
      </c>
      <c r="D52" s="1121">
        <v>1983040</v>
      </c>
      <c r="E52" s="1125">
        <v>29917</v>
      </c>
      <c r="F52" s="1127">
        <v>29959</v>
      </c>
      <c r="G52" s="1101">
        <v>174629</v>
      </c>
      <c r="H52" s="1127">
        <v>401994</v>
      </c>
      <c r="I52" s="1101">
        <v>5446210</v>
      </c>
      <c r="J52" s="1127">
        <v>4209084</v>
      </c>
      <c r="K52" s="1101">
        <v>213822</v>
      </c>
      <c r="L52" s="1127">
        <v>870604</v>
      </c>
      <c r="M52" s="1101">
        <v>1737975</v>
      </c>
      <c r="N52" s="1135">
        <v>1549679</v>
      </c>
      <c r="O52" s="1137">
        <v>1598981</v>
      </c>
      <c r="P52" s="1127">
        <v>2084973</v>
      </c>
      <c r="Q52" s="1101">
        <v>21380</v>
      </c>
      <c r="R52" s="1140">
        <v>229654</v>
      </c>
      <c r="S52" s="111">
        <v>259276</v>
      </c>
      <c r="T52" s="1127">
        <v>1156421</v>
      </c>
      <c r="U52" s="1101">
        <v>344386</v>
      </c>
      <c r="V52" s="1127">
        <v>1133322</v>
      </c>
      <c r="W52" s="1101">
        <v>9908968</v>
      </c>
      <c r="X52" s="1127">
        <v>11913888</v>
      </c>
      <c r="Y52" s="1101">
        <v>19848596</v>
      </c>
      <c r="Z52" s="1127">
        <v>19887091</v>
      </c>
      <c r="AA52" s="1101">
        <v>970037</v>
      </c>
      <c r="AB52" s="1146">
        <v>1202998</v>
      </c>
      <c r="AC52" s="1150">
        <v>1467816.02</v>
      </c>
      <c r="AD52" s="1127">
        <v>894592.49</v>
      </c>
      <c r="AE52" s="1101">
        <v>5049350</v>
      </c>
      <c r="AF52" s="1127">
        <v>4600795</v>
      </c>
      <c r="AG52" s="1318">
        <v>3861713</v>
      </c>
      <c r="AH52" s="1127">
        <v>4690114</v>
      </c>
      <c r="AI52" s="1101"/>
      <c r="AJ52" s="1127">
        <v>719260</v>
      </c>
      <c r="AK52" s="1101">
        <v>2375280</v>
      </c>
      <c r="AL52" s="1127">
        <v>2102938</v>
      </c>
      <c r="AM52" s="1101"/>
      <c r="AN52" s="1154"/>
      <c r="AO52" s="1156">
        <v>16787622</v>
      </c>
      <c r="AP52" s="1158">
        <v>14626523</v>
      </c>
      <c r="AQ52" s="1162">
        <v>796040</v>
      </c>
      <c r="AR52" s="1165">
        <v>885669</v>
      </c>
      <c r="AS52" s="1104">
        <v>1593173</v>
      </c>
      <c r="AT52" s="1319">
        <v>879472</v>
      </c>
      <c r="AU52" s="1150">
        <v>1024698</v>
      </c>
      <c r="AV52" s="1127">
        <v>690312</v>
      </c>
      <c r="AW52" s="1101">
        <f t="shared" si="2"/>
        <v>74803930.02000001</v>
      </c>
      <c r="AX52" s="1127">
        <f t="shared" si="3"/>
        <v>76742382.49000001</v>
      </c>
      <c r="AY52" s="1103">
        <v>28890101</v>
      </c>
      <c r="AZ52" s="1127">
        <v>26977429</v>
      </c>
      <c r="BA52" s="1099">
        <f t="shared" si="0"/>
        <v>103694031.02000001</v>
      </c>
      <c r="BB52" s="1100">
        <f t="shared" si="1"/>
        <v>103719811.49000001</v>
      </c>
    </row>
    <row r="53" spans="1:54" ht="17.25">
      <c r="A53" s="439" t="s">
        <v>357</v>
      </c>
      <c r="B53" s="497"/>
      <c r="C53" s="1111"/>
      <c r="D53" s="1121"/>
      <c r="E53" s="1125">
        <v>-719755</v>
      </c>
      <c r="F53" s="1127">
        <v>-273710</v>
      </c>
      <c r="G53" s="1101"/>
      <c r="H53" s="1127"/>
      <c r="I53" s="1101"/>
      <c r="J53" s="1127"/>
      <c r="K53" s="1101">
        <v>-3169</v>
      </c>
      <c r="L53" s="1127">
        <v>-4403</v>
      </c>
      <c r="M53" s="1101"/>
      <c r="N53" s="1135"/>
      <c r="O53" s="1137"/>
      <c r="P53" s="1127"/>
      <c r="Q53" s="1101"/>
      <c r="R53" s="1140"/>
      <c r="S53" s="111"/>
      <c r="T53" s="1127"/>
      <c r="U53" s="1101"/>
      <c r="V53" s="1127"/>
      <c r="W53" s="1101"/>
      <c r="X53" s="1127"/>
      <c r="Y53" s="1101"/>
      <c r="Z53" s="1127"/>
      <c r="AA53" s="1101"/>
      <c r="AB53" s="1146"/>
      <c r="AC53" s="1150"/>
      <c r="AD53" s="1127"/>
      <c r="AE53" s="1101"/>
      <c r="AF53" s="1127"/>
      <c r="AG53" s="1101"/>
      <c r="AH53" s="1127"/>
      <c r="AI53" s="1101"/>
      <c r="AJ53" s="1127"/>
      <c r="AK53" s="1101"/>
      <c r="AL53" s="1127"/>
      <c r="AM53" s="1101"/>
      <c r="AN53" s="1154"/>
      <c r="AO53" s="1156"/>
      <c r="AP53" s="1158"/>
      <c r="AQ53" s="1162"/>
      <c r="AR53" s="1165"/>
      <c r="AS53" s="1104"/>
      <c r="AT53" s="1319"/>
      <c r="AU53" s="1150"/>
      <c r="AV53" s="1127"/>
      <c r="AW53" s="1101">
        <f t="shared" si="2"/>
        <v>-722924</v>
      </c>
      <c r="AX53" s="1127">
        <f t="shared" si="3"/>
        <v>-278113</v>
      </c>
      <c r="AY53" s="1103"/>
      <c r="AZ53" s="1127"/>
      <c r="BA53" s="1099">
        <f t="shared" si="0"/>
        <v>-722924</v>
      </c>
      <c r="BB53" s="1100">
        <f t="shared" si="1"/>
        <v>-278113</v>
      </c>
    </row>
    <row r="54" spans="1:54" ht="17.25">
      <c r="A54" s="439" t="s">
        <v>325</v>
      </c>
      <c r="B54" s="497"/>
      <c r="C54" s="1111"/>
      <c r="D54" s="1121"/>
      <c r="E54" s="1125"/>
      <c r="F54" s="1127"/>
      <c r="G54" s="1101"/>
      <c r="H54" s="1127"/>
      <c r="I54" s="1101"/>
      <c r="J54" s="1127"/>
      <c r="K54" s="1101"/>
      <c r="L54" s="1127"/>
      <c r="M54" s="1101"/>
      <c r="N54" s="1135"/>
      <c r="O54" s="1137"/>
      <c r="P54" s="1127"/>
      <c r="Q54" s="1101"/>
      <c r="R54" s="1140"/>
      <c r="S54" s="111"/>
      <c r="T54" s="1127"/>
      <c r="U54" s="1101"/>
      <c r="V54" s="1127"/>
      <c r="W54" s="1101"/>
      <c r="X54" s="1127"/>
      <c r="Y54" s="1101"/>
      <c r="Z54" s="1127"/>
      <c r="AA54" s="1101"/>
      <c r="AB54" s="1146"/>
      <c r="AC54" s="1150"/>
      <c r="AD54" s="1127"/>
      <c r="AE54" s="1101"/>
      <c r="AF54" s="1127"/>
      <c r="AG54" s="1101"/>
      <c r="AH54" s="1127"/>
      <c r="AI54" s="1101"/>
      <c r="AJ54" s="1127"/>
      <c r="AK54" s="1101"/>
      <c r="AL54" s="1127"/>
      <c r="AM54" s="1101"/>
      <c r="AN54" s="1154"/>
      <c r="AO54" s="1156"/>
      <c r="AP54" s="1159"/>
      <c r="AQ54" s="1111"/>
      <c r="AR54" s="1165"/>
      <c r="AS54" s="1104"/>
      <c r="AT54" s="1319"/>
      <c r="AU54" s="1150"/>
      <c r="AV54" s="1127"/>
      <c r="AW54" s="1101">
        <f t="shared" si="2"/>
        <v>0</v>
      </c>
      <c r="AX54" s="1127">
        <f t="shared" si="3"/>
        <v>0</v>
      </c>
      <c r="AY54" s="1103"/>
      <c r="AZ54" s="1127"/>
      <c r="BA54" s="1099">
        <f t="shared" si="0"/>
        <v>0</v>
      </c>
      <c r="BB54" s="1100">
        <f t="shared" si="1"/>
        <v>0</v>
      </c>
    </row>
    <row r="55" spans="1:54" ht="17.25">
      <c r="A55" s="439" t="s">
        <v>326</v>
      </c>
      <c r="B55" s="497"/>
      <c r="C55" s="1111">
        <v>-115057</v>
      </c>
      <c r="D55" s="1121">
        <v>35393</v>
      </c>
      <c r="E55" s="1125">
        <v>397578</v>
      </c>
      <c r="F55" s="1127">
        <v>239364</v>
      </c>
      <c r="G55" s="1101">
        <v>108348</v>
      </c>
      <c r="H55" s="1127">
        <v>40339</v>
      </c>
      <c r="I55" s="1101">
        <v>883638</v>
      </c>
      <c r="J55" s="1127">
        <v>814027</v>
      </c>
      <c r="K55" s="1101">
        <v>158250</v>
      </c>
      <c r="L55" s="1127">
        <v>147314</v>
      </c>
      <c r="M55" s="1101">
        <v>3005336</v>
      </c>
      <c r="N55" s="1135">
        <v>561242</v>
      </c>
      <c r="O55" s="1137">
        <v>140228</v>
      </c>
      <c r="P55" s="1127">
        <v>-41729</v>
      </c>
      <c r="Q55" s="1101">
        <v>13487</v>
      </c>
      <c r="R55" s="1140">
        <v>11350</v>
      </c>
      <c r="S55" s="111">
        <v>946204</v>
      </c>
      <c r="T55" s="1127">
        <v>2355554</v>
      </c>
      <c r="U55" s="1101">
        <v>599767</v>
      </c>
      <c r="V55" s="1127">
        <v>1229209</v>
      </c>
      <c r="W55" s="1101">
        <v>1075480</v>
      </c>
      <c r="X55" s="1127">
        <v>-2199736</v>
      </c>
      <c r="Y55" s="1101">
        <v>1205194</v>
      </c>
      <c r="Z55" s="1127">
        <v>1982536</v>
      </c>
      <c r="AA55" s="1101">
        <v>336504</v>
      </c>
      <c r="AB55" s="1146">
        <v>320226</v>
      </c>
      <c r="AC55" s="1150">
        <v>341958.9</v>
      </c>
      <c r="AD55" s="1127">
        <v>29810.82</v>
      </c>
      <c r="AE55" s="1101">
        <v>445175</v>
      </c>
      <c r="AF55" s="1127">
        <v>-260004</v>
      </c>
      <c r="AG55" s="1101">
        <v>-1143328</v>
      </c>
      <c r="AH55" s="1127">
        <v>8464599</v>
      </c>
      <c r="AI55" s="1101"/>
      <c r="AJ55" s="1127">
        <v>1495089</v>
      </c>
      <c r="AK55" s="1101">
        <v>434521</v>
      </c>
      <c r="AL55" s="1127">
        <v>404443</v>
      </c>
      <c r="AM55" s="1101"/>
      <c r="AN55" s="1154"/>
      <c r="AO55" s="1156">
        <v>1286583</v>
      </c>
      <c r="AP55" s="1158">
        <v>4320455</v>
      </c>
      <c r="AQ55" s="1162">
        <v>347070</v>
      </c>
      <c r="AR55" s="1165">
        <v>312715</v>
      </c>
      <c r="AS55" s="1104">
        <v>44612</v>
      </c>
      <c r="AT55" s="1319">
        <v>337283</v>
      </c>
      <c r="AU55" s="1150">
        <v>4004421</v>
      </c>
      <c r="AV55" s="1127">
        <v>5099405</v>
      </c>
      <c r="AW55" s="1101">
        <f t="shared" si="2"/>
        <v>14515969.9</v>
      </c>
      <c r="AX55" s="1127">
        <f t="shared" si="3"/>
        <v>25698884.82</v>
      </c>
      <c r="AY55" s="1103">
        <v>31255</v>
      </c>
      <c r="AZ55" s="1127">
        <v>415</v>
      </c>
      <c r="BA55" s="1099">
        <f t="shared" si="0"/>
        <v>14547224.9</v>
      </c>
      <c r="BB55" s="1100">
        <f t="shared" si="1"/>
        <v>25699299.82</v>
      </c>
    </row>
    <row r="56" spans="1:54" s="715" customFormat="1" ht="18">
      <c r="A56" s="493" t="s">
        <v>327</v>
      </c>
      <c r="B56" s="714"/>
      <c r="C56" s="1114">
        <v>1179004</v>
      </c>
      <c r="D56" s="1123">
        <v>2018433</v>
      </c>
      <c r="E56" s="1126">
        <v>-292280</v>
      </c>
      <c r="F56" s="1128">
        <v>-4387</v>
      </c>
      <c r="G56" s="1103">
        <v>282977</v>
      </c>
      <c r="H56" s="1128">
        <v>442333</v>
      </c>
      <c r="I56" s="1103">
        <v>6329848</v>
      </c>
      <c r="J56" s="1128">
        <v>5023111</v>
      </c>
      <c r="K56" s="1103">
        <v>368903</v>
      </c>
      <c r="L56" s="1128">
        <v>1013515</v>
      </c>
      <c r="M56" s="1103">
        <v>4743311</v>
      </c>
      <c r="N56" s="1136">
        <v>2110921</v>
      </c>
      <c r="O56" s="1138">
        <v>1739209</v>
      </c>
      <c r="P56" s="1128">
        <v>2043244</v>
      </c>
      <c r="Q56" s="1103">
        <v>34867</v>
      </c>
      <c r="R56" s="1141">
        <v>241004</v>
      </c>
      <c r="S56" s="1143">
        <v>1205480</v>
      </c>
      <c r="T56" s="1128">
        <v>3511975</v>
      </c>
      <c r="U56" s="1103">
        <v>944153</v>
      </c>
      <c r="V56" s="1128">
        <v>2362531</v>
      </c>
      <c r="W56" s="1103">
        <v>10984448</v>
      </c>
      <c r="X56" s="1128">
        <v>9714152</v>
      </c>
      <c r="Y56" s="1103">
        <v>21053790</v>
      </c>
      <c r="Z56" s="1128">
        <v>21869627</v>
      </c>
      <c r="AA56" s="1103">
        <v>1306541</v>
      </c>
      <c r="AB56" s="1147">
        <v>1523224</v>
      </c>
      <c r="AC56" s="1151">
        <v>1809774.92</v>
      </c>
      <c r="AD56" s="1128">
        <v>924403.31</v>
      </c>
      <c r="AE56" s="1103">
        <v>5494525</v>
      </c>
      <c r="AF56" s="1128">
        <v>4340791</v>
      </c>
      <c r="AG56" s="1103"/>
      <c r="AH56" s="1128"/>
      <c r="AI56" s="1103"/>
      <c r="AJ56" s="1128">
        <v>2214349</v>
      </c>
      <c r="AK56" s="1103">
        <v>2809801</v>
      </c>
      <c r="AL56" s="1128">
        <v>2507381</v>
      </c>
      <c r="AM56" s="1103"/>
      <c r="AN56" s="1155"/>
      <c r="AO56" s="1157">
        <v>18074205</v>
      </c>
      <c r="AP56" s="1160">
        <v>18946979</v>
      </c>
      <c r="AQ56" s="1163">
        <v>1143110</v>
      </c>
      <c r="AR56" s="1166">
        <v>1198384</v>
      </c>
      <c r="AS56" s="1167">
        <v>1637785</v>
      </c>
      <c r="AT56" s="1321">
        <v>1216755</v>
      </c>
      <c r="AU56" s="1151">
        <v>5029119</v>
      </c>
      <c r="AV56" s="1128">
        <v>5789717</v>
      </c>
      <c r="AW56" s="1101">
        <f t="shared" si="2"/>
        <v>85878570.92</v>
      </c>
      <c r="AX56" s="1127">
        <f t="shared" si="3"/>
        <v>89008442.31</v>
      </c>
      <c r="AY56" s="1103">
        <v>288901101</v>
      </c>
      <c r="AZ56" s="1128">
        <f>AZ46</f>
        <v>26977429</v>
      </c>
      <c r="BA56" s="1099">
        <f t="shared" si="0"/>
        <v>374779671.92</v>
      </c>
      <c r="BB56" s="1100">
        <f t="shared" si="1"/>
        <v>115985871.31</v>
      </c>
    </row>
    <row r="57" spans="1:54" ht="17.25">
      <c r="A57" s="439" t="s">
        <v>328</v>
      </c>
      <c r="B57" s="497"/>
      <c r="C57" s="1111">
        <f>66330+1386</f>
        <v>67716</v>
      </c>
      <c r="D57" s="1123">
        <f>36450+1378</f>
        <v>37828</v>
      </c>
      <c r="E57" s="1126">
        <v>810</v>
      </c>
      <c r="F57" s="1128">
        <v>1087</v>
      </c>
      <c r="G57" s="1103">
        <v>5652</v>
      </c>
      <c r="H57" s="1128">
        <v>11595</v>
      </c>
      <c r="I57" s="1103">
        <v>1490519</v>
      </c>
      <c r="J57" s="1128">
        <v>1346832</v>
      </c>
      <c r="K57" s="1103">
        <v>187217</v>
      </c>
      <c r="L57" s="1128"/>
      <c r="M57" s="1103">
        <v>46040</v>
      </c>
      <c r="N57" s="1136">
        <v>17668</v>
      </c>
      <c r="O57" s="1138">
        <v>232</v>
      </c>
      <c r="P57" s="1128">
        <v>223</v>
      </c>
      <c r="Q57" s="1103">
        <v>239</v>
      </c>
      <c r="R57" s="1141">
        <v>288</v>
      </c>
      <c r="S57" s="1143"/>
      <c r="T57" s="1128"/>
      <c r="U57" s="1103">
        <f>7463+11234</f>
        <v>18697</v>
      </c>
      <c r="V57" s="1128">
        <f>5528+10677</f>
        <v>16205</v>
      </c>
      <c r="W57" s="1103">
        <f>2018182+5922821</f>
        <v>7941003</v>
      </c>
      <c r="X57" s="1128">
        <f>585006+7899387</f>
        <v>8484393</v>
      </c>
      <c r="Y57" s="1103">
        <v>1162311</v>
      </c>
      <c r="Z57" s="1128">
        <v>739550</v>
      </c>
      <c r="AA57" s="1103"/>
      <c r="AB57" s="1144"/>
      <c r="AC57" s="1148"/>
      <c r="AD57" s="1128"/>
      <c r="AE57" s="1103">
        <v>502080</v>
      </c>
      <c r="AF57" s="1152">
        <v>269181</v>
      </c>
      <c r="AG57" s="1153">
        <v>28763</v>
      </c>
      <c r="AH57" s="1128">
        <v>16550</v>
      </c>
      <c r="AI57" s="1103"/>
      <c r="AJ57" s="1128">
        <v>30187</v>
      </c>
      <c r="AK57" s="1103">
        <v>3787</v>
      </c>
      <c r="AL57" s="1128">
        <v>6586</v>
      </c>
      <c r="AM57" s="1103"/>
      <c r="AN57" s="1154"/>
      <c r="AO57" s="1156">
        <v>897709</v>
      </c>
      <c r="AP57" s="1158">
        <v>755865</v>
      </c>
      <c r="AQ57" s="1162">
        <v>3766</v>
      </c>
      <c r="AR57" s="1165">
        <v>3422</v>
      </c>
      <c r="AS57" s="1104">
        <v>232</v>
      </c>
      <c r="AT57" s="1322">
        <v>145</v>
      </c>
      <c r="AU57" s="1101"/>
      <c r="AV57" s="1128"/>
      <c r="AW57" s="1101">
        <f t="shared" si="2"/>
        <v>12356773</v>
      </c>
      <c r="AX57" s="1127">
        <f t="shared" si="3"/>
        <v>11737605</v>
      </c>
      <c r="AY57" s="1103">
        <v>22290733</v>
      </c>
      <c r="AZ57" s="1128">
        <v>16733701</v>
      </c>
      <c r="BA57" s="1099">
        <f t="shared" si="0"/>
        <v>34647506</v>
      </c>
      <c r="BB57" s="1100">
        <f t="shared" si="1"/>
        <v>28471306</v>
      </c>
    </row>
    <row r="58" spans="1:54" ht="17.25">
      <c r="A58" s="439" t="s">
        <v>329</v>
      </c>
      <c r="B58" s="497"/>
      <c r="C58" s="1111">
        <v>2624434</v>
      </c>
      <c r="D58" s="1121">
        <v>2553162</v>
      </c>
      <c r="E58" s="1125">
        <v>268443</v>
      </c>
      <c r="F58" s="1127">
        <v>268546</v>
      </c>
      <c r="G58" s="1101">
        <v>46561</v>
      </c>
      <c r="H58" s="1127">
        <v>48036</v>
      </c>
      <c r="I58" s="1101">
        <v>5691342</v>
      </c>
      <c r="J58" s="1127">
        <v>4147550</v>
      </c>
      <c r="K58" s="1101">
        <v>760058</v>
      </c>
      <c r="L58" s="1127">
        <v>858518</v>
      </c>
      <c r="M58" s="1101">
        <v>541291</v>
      </c>
      <c r="N58" s="1135">
        <v>609070</v>
      </c>
      <c r="O58" s="1137">
        <v>101262</v>
      </c>
      <c r="P58" s="1127">
        <v>104902</v>
      </c>
      <c r="Q58" s="1101">
        <v>347867</v>
      </c>
      <c r="R58" s="1140">
        <v>309386</v>
      </c>
      <c r="S58" s="111"/>
      <c r="T58" s="1127"/>
      <c r="U58" s="1101">
        <v>573495</v>
      </c>
      <c r="V58" s="1127">
        <v>618345</v>
      </c>
      <c r="W58" s="1101">
        <v>7415250</v>
      </c>
      <c r="X58" s="1127">
        <v>8028593</v>
      </c>
      <c r="Y58" s="1101">
        <v>6082359</v>
      </c>
      <c r="Z58" s="1127">
        <v>5132635</v>
      </c>
      <c r="AA58" s="1101"/>
      <c r="AB58" s="1146"/>
      <c r="AC58" s="1150"/>
      <c r="AD58" s="1127"/>
      <c r="AE58" s="1101">
        <v>5414743</v>
      </c>
      <c r="AF58" s="1127">
        <v>3915079</v>
      </c>
      <c r="AG58" s="1101">
        <v>12967544</v>
      </c>
      <c r="AH58" s="1127">
        <v>13119232</v>
      </c>
      <c r="AI58" s="1101"/>
      <c r="AJ58" s="1127">
        <v>3024133</v>
      </c>
      <c r="AK58" s="1101">
        <v>2150225</v>
      </c>
      <c r="AL58" s="1127">
        <v>1955936</v>
      </c>
      <c r="AM58" s="1101"/>
      <c r="AN58" s="1154"/>
      <c r="AO58" s="1156">
        <v>13949212</v>
      </c>
      <c r="AP58" s="1159">
        <v>12963341</v>
      </c>
      <c r="AQ58" s="1111">
        <v>1096377</v>
      </c>
      <c r="AR58" s="1165">
        <v>938556</v>
      </c>
      <c r="AS58" s="1104">
        <v>240346</v>
      </c>
      <c r="AT58" s="1319">
        <v>197029</v>
      </c>
      <c r="AU58" s="1150">
        <v>4965450</v>
      </c>
      <c r="AV58" s="1127">
        <v>4900279</v>
      </c>
      <c r="AW58" s="1101">
        <f t="shared" si="2"/>
        <v>65236259</v>
      </c>
      <c r="AX58" s="1127">
        <f t="shared" si="3"/>
        <v>63692328</v>
      </c>
      <c r="AY58" s="1103">
        <v>548911916</v>
      </c>
      <c r="AZ58" s="1127">
        <v>512571156</v>
      </c>
      <c r="BA58" s="1099">
        <f t="shared" si="0"/>
        <v>614148175</v>
      </c>
      <c r="BB58" s="1100">
        <f t="shared" si="1"/>
        <v>576263484</v>
      </c>
    </row>
    <row r="59" spans="1:54" ht="18" thickBot="1">
      <c r="A59" s="730" t="s">
        <v>330</v>
      </c>
      <c r="B59" s="731"/>
      <c r="C59" s="1115">
        <v>1179004</v>
      </c>
      <c r="D59" s="1124">
        <v>2018433</v>
      </c>
      <c r="E59" s="1129">
        <v>-292280</v>
      </c>
      <c r="F59" s="1130">
        <v>-4387</v>
      </c>
      <c r="G59" s="1131">
        <v>282977</v>
      </c>
      <c r="H59" s="1130">
        <v>442333</v>
      </c>
      <c r="I59" s="1131">
        <v>6329848</v>
      </c>
      <c r="J59" s="1130">
        <v>5023111</v>
      </c>
      <c r="K59" s="1131">
        <v>368903</v>
      </c>
      <c r="L59" s="1130">
        <v>1013515</v>
      </c>
      <c r="M59" s="1131">
        <v>4743311</v>
      </c>
      <c r="N59" s="1169">
        <v>2110921</v>
      </c>
      <c r="O59" s="1170">
        <v>1739209</v>
      </c>
      <c r="P59" s="1130">
        <v>2043244</v>
      </c>
      <c r="Q59" s="1131">
        <v>34867</v>
      </c>
      <c r="R59" s="1171">
        <v>241004</v>
      </c>
      <c r="S59" s="1172"/>
      <c r="T59" s="1130"/>
      <c r="U59" s="1131">
        <v>944153</v>
      </c>
      <c r="V59" s="1130">
        <v>2362531</v>
      </c>
      <c r="W59" s="1131">
        <v>10984448</v>
      </c>
      <c r="X59" s="1130">
        <v>9714152</v>
      </c>
      <c r="Y59" s="1131">
        <v>21053790</v>
      </c>
      <c r="Z59" s="1130">
        <v>21869627</v>
      </c>
      <c r="AA59" s="1131"/>
      <c r="AB59" s="1173"/>
      <c r="AC59" s="1174"/>
      <c r="AD59" s="1130"/>
      <c r="AE59" s="1131">
        <v>445175</v>
      </c>
      <c r="AF59" s="1130">
        <v>-260004</v>
      </c>
      <c r="AG59" s="1131">
        <v>33680686</v>
      </c>
      <c r="AH59" s="1130">
        <v>35652415</v>
      </c>
      <c r="AI59" s="1131"/>
      <c r="AJ59" s="1130">
        <v>2214349</v>
      </c>
      <c r="AK59" s="1131">
        <v>2809801</v>
      </c>
      <c r="AL59" s="1130">
        <v>2507381</v>
      </c>
      <c r="AM59" s="1131"/>
      <c r="AN59" s="1175"/>
      <c r="AO59" s="1176">
        <v>18074205</v>
      </c>
      <c r="AP59" s="1177">
        <v>18946979</v>
      </c>
      <c r="AQ59" s="1178">
        <v>830395</v>
      </c>
      <c r="AR59" s="1179">
        <v>1116752</v>
      </c>
      <c r="AS59" s="1105">
        <v>608464</v>
      </c>
      <c r="AT59" s="1323">
        <v>898292</v>
      </c>
      <c r="AU59" s="1174">
        <v>5029119</v>
      </c>
      <c r="AV59" s="1179">
        <v>5789717</v>
      </c>
      <c r="AW59" s="1131">
        <f t="shared" si="2"/>
        <v>108846075</v>
      </c>
      <c r="AX59" s="1130">
        <f t="shared" si="3"/>
        <v>113700365</v>
      </c>
      <c r="AY59" s="1180">
        <v>28890101</v>
      </c>
      <c r="AZ59" s="1130">
        <v>26977429</v>
      </c>
      <c r="BA59" s="1181">
        <f t="shared" si="0"/>
        <v>137736176</v>
      </c>
      <c r="BB59" s="1182">
        <f t="shared" si="1"/>
        <v>140677794</v>
      </c>
    </row>
    <row r="60" spans="1:54" s="1503" customFormat="1" ht="14.25" thickBot="1">
      <c r="A60" s="1504" t="s">
        <v>331</v>
      </c>
      <c r="B60" s="1505"/>
      <c r="C60" s="1506">
        <v>3871154</v>
      </c>
      <c r="D60" s="1507">
        <v>4609423</v>
      </c>
      <c r="E60" s="1508">
        <v>-23028</v>
      </c>
      <c r="F60" s="1509">
        <v>265246</v>
      </c>
      <c r="G60" s="1510">
        <v>335190</v>
      </c>
      <c r="H60" s="1509">
        <v>501964</v>
      </c>
      <c r="I60" s="1510">
        <v>13511709</v>
      </c>
      <c r="J60" s="1509">
        <v>10517493</v>
      </c>
      <c r="K60" s="1510">
        <v>1316178</v>
      </c>
      <c r="L60" s="1509">
        <v>1872033</v>
      </c>
      <c r="M60" s="1510">
        <v>5330642</v>
      </c>
      <c r="N60" s="1509">
        <v>2737659</v>
      </c>
      <c r="O60" s="1510">
        <v>1840703</v>
      </c>
      <c r="P60" s="1509">
        <v>2148369</v>
      </c>
      <c r="Q60" s="1510">
        <v>382973</v>
      </c>
      <c r="R60" s="1511">
        <v>550678</v>
      </c>
      <c r="S60" s="1512"/>
      <c r="T60" s="1509"/>
      <c r="U60" s="1510">
        <v>1536345</v>
      </c>
      <c r="V60" s="1509">
        <v>2997081</v>
      </c>
      <c r="W60" s="1510">
        <v>26340701</v>
      </c>
      <c r="X60" s="1509">
        <v>26227138</v>
      </c>
      <c r="Y60" s="1510">
        <v>28298460</v>
      </c>
      <c r="Z60" s="1509">
        <v>27741812</v>
      </c>
      <c r="AA60" s="1510"/>
      <c r="AB60" s="1513"/>
      <c r="AC60" s="1514"/>
      <c r="AD60" s="1509"/>
      <c r="AE60" s="1510">
        <v>6361998</v>
      </c>
      <c r="AF60" s="1509">
        <v>3924256</v>
      </c>
      <c r="AG60" s="1510">
        <v>46676993</v>
      </c>
      <c r="AH60" s="1509">
        <v>48788197</v>
      </c>
      <c r="AI60" s="1510"/>
      <c r="AJ60" s="1509">
        <v>5268669</v>
      </c>
      <c r="AK60" s="1510">
        <v>4963813</v>
      </c>
      <c r="AL60" s="1509">
        <v>4469903</v>
      </c>
      <c r="AM60" s="1510"/>
      <c r="AN60" s="1515"/>
      <c r="AO60" s="1516">
        <v>32921126</v>
      </c>
      <c r="AP60" s="1517">
        <v>32666185</v>
      </c>
      <c r="AQ60" s="1518">
        <v>1930538</v>
      </c>
      <c r="AR60" s="1519">
        <v>2058730</v>
      </c>
      <c r="AS60" s="1520">
        <v>849042</v>
      </c>
      <c r="AT60" s="1521">
        <v>1095466</v>
      </c>
      <c r="AU60" s="1514">
        <v>9994569</v>
      </c>
      <c r="AV60" s="1509">
        <v>10689996</v>
      </c>
      <c r="AW60" s="1510">
        <f t="shared" si="2"/>
        <v>186439106</v>
      </c>
      <c r="AX60" s="1509">
        <f t="shared" si="3"/>
        <v>189130298</v>
      </c>
      <c r="AY60" s="1510">
        <v>600092750</v>
      </c>
      <c r="AZ60" s="1509">
        <v>556282286</v>
      </c>
      <c r="BA60" s="1522">
        <f t="shared" si="0"/>
        <v>786531856</v>
      </c>
      <c r="BB60" s="1523">
        <f t="shared" si="1"/>
        <v>745412584</v>
      </c>
    </row>
  </sheetData>
  <sheetProtection/>
  <mergeCells count="2">
    <mergeCell ref="A1:BB1"/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</sheetPr>
  <dimension ref="A1:BA4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C27" sqref="BC27"/>
    </sheetView>
  </sheetViews>
  <sheetFormatPr defaultColWidth="9.140625" defaultRowHeight="15"/>
  <cols>
    <col min="1" max="1" width="38.421875" style="523" bestFit="1" customWidth="1"/>
    <col min="2" max="2" width="10.57421875" style="523" bestFit="1" customWidth="1"/>
    <col min="3" max="3" width="10.57421875" style="109" bestFit="1" customWidth="1"/>
    <col min="4" max="4" width="10.57421875" style="109" customWidth="1"/>
    <col min="5" max="5" width="10.7109375" style="109" customWidth="1"/>
    <col min="6" max="8" width="10.57421875" style="109" bestFit="1" customWidth="1"/>
    <col min="9" max="9" width="10.8515625" style="109" customWidth="1"/>
    <col min="10" max="11" width="10.57421875" style="109" bestFit="1" customWidth="1"/>
    <col min="12" max="13" width="10.28125" style="109" customWidth="1"/>
    <col min="14" max="18" width="10.57421875" style="109" bestFit="1" customWidth="1"/>
    <col min="19" max="19" width="10.57421875" style="109" customWidth="1"/>
    <col min="20" max="38" width="10.57421875" style="109" bestFit="1" customWidth="1"/>
    <col min="39" max="40" width="10.57421875" style="476" bestFit="1" customWidth="1"/>
    <col min="41" max="47" width="10.57421875" style="109" bestFit="1" customWidth="1"/>
    <col min="48" max="48" width="12.00390625" style="109" bestFit="1" customWidth="1"/>
    <col min="49" max="49" width="10.57421875" style="109" bestFit="1" customWidth="1"/>
    <col min="50" max="51" width="11.00390625" style="109" bestFit="1" customWidth="1"/>
    <col min="52" max="52" width="12.421875" style="109" bestFit="1" customWidth="1"/>
    <col min="53" max="53" width="11.00390625" style="181" bestFit="1" customWidth="1"/>
    <col min="54" max="16384" width="9.140625" style="476" customWidth="1"/>
  </cols>
  <sheetData>
    <row r="1" spans="1:53" ht="42.75" customHeight="1" thickBot="1">
      <c r="A1" s="1190" t="s">
        <v>259</v>
      </c>
      <c r="B1" s="1639" t="s">
        <v>163</v>
      </c>
      <c r="C1" s="1642"/>
      <c r="D1" s="1670" t="s">
        <v>164</v>
      </c>
      <c r="E1" s="1671"/>
      <c r="F1" s="1670" t="s">
        <v>165</v>
      </c>
      <c r="G1" s="1671"/>
      <c r="H1" s="1670" t="s">
        <v>166</v>
      </c>
      <c r="I1" s="1671"/>
      <c r="J1" s="1670" t="s">
        <v>167</v>
      </c>
      <c r="K1" s="1671"/>
      <c r="L1" s="1670" t="s">
        <v>168</v>
      </c>
      <c r="M1" s="1671"/>
      <c r="N1" s="1670" t="s">
        <v>446</v>
      </c>
      <c r="O1" s="1671"/>
      <c r="P1" s="1670" t="s">
        <v>169</v>
      </c>
      <c r="Q1" s="1671"/>
      <c r="R1" s="1670" t="s">
        <v>170</v>
      </c>
      <c r="S1" s="1671"/>
      <c r="T1" s="1670" t="s">
        <v>171</v>
      </c>
      <c r="U1" s="1671"/>
      <c r="V1" s="1670" t="s">
        <v>172</v>
      </c>
      <c r="W1" s="1671"/>
      <c r="X1" s="1670" t="s">
        <v>173</v>
      </c>
      <c r="Y1" s="1671"/>
      <c r="Z1" s="1670" t="s">
        <v>526</v>
      </c>
      <c r="AA1" s="1671"/>
      <c r="AB1" s="1670" t="s">
        <v>174</v>
      </c>
      <c r="AC1" s="1671"/>
      <c r="AD1" s="1672" t="s">
        <v>175</v>
      </c>
      <c r="AE1" s="1673"/>
      <c r="AF1" s="1670" t="s">
        <v>176</v>
      </c>
      <c r="AG1" s="1671"/>
      <c r="AH1" s="1670" t="s">
        <v>177</v>
      </c>
      <c r="AI1" s="1671"/>
      <c r="AJ1" s="1670" t="s">
        <v>178</v>
      </c>
      <c r="AK1" s="1671"/>
      <c r="AL1" s="1672" t="s">
        <v>179</v>
      </c>
      <c r="AM1" s="1673"/>
      <c r="AN1" s="1670" t="s">
        <v>180</v>
      </c>
      <c r="AO1" s="1671"/>
      <c r="AP1" s="1670" t="s">
        <v>181</v>
      </c>
      <c r="AQ1" s="1671"/>
      <c r="AR1" s="1670" t="s">
        <v>182</v>
      </c>
      <c r="AS1" s="1671"/>
      <c r="AT1" s="1670" t="s">
        <v>183</v>
      </c>
      <c r="AU1" s="1671"/>
      <c r="AV1" s="1676" t="s">
        <v>1</v>
      </c>
      <c r="AW1" s="1677"/>
      <c r="AX1" s="1672" t="s">
        <v>184</v>
      </c>
      <c r="AY1" s="1673"/>
      <c r="AZ1" s="1674" t="s">
        <v>2</v>
      </c>
      <c r="BA1" s="1675"/>
    </row>
    <row r="2" spans="1:53" s="582" customFormat="1" ht="31.5" customHeight="1" thickBot="1">
      <c r="A2" s="614" t="s">
        <v>0</v>
      </c>
      <c r="B2" s="1282" t="s">
        <v>523</v>
      </c>
      <c r="C2" s="1281" t="s">
        <v>380</v>
      </c>
      <c r="D2" s="1282" t="s">
        <v>523</v>
      </c>
      <c r="E2" s="1281" t="s">
        <v>380</v>
      </c>
      <c r="F2" s="1282" t="s">
        <v>523</v>
      </c>
      <c r="G2" s="1281" t="s">
        <v>380</v>
      </c>
      <c r="H2" s="1282" t="s">
        <v>523</v>
      </c>
      <c r="I2" s="1281" t="s">
        <v>380</v>
      </c>
      <c r="J2" s="1282" t="s">
        <v>523</v>
      </c>
      <c r="K2" s="1281" t="s">
        <v>380</v>
      </c>
      <c r="L2" s="1282" t="s">
        <v>523</v>
      </c>
      <c r="M2" s="1281" t="s">
        <v>380</v>
      </c>
      <c r="N2" s="1282" t="s">
        <v>523</v>
      </c>
      <c r="O2" s="1281" t="s">
        <v>380</v>
      </c>
      <c r="P2" s="1282" t="s">
        <v>523</v>
      </c>
      <c r="Q2" s="1281" t="s">
        <v>380</v>
      </c>
      <c r="R2" s="1282" t="s">
        <v>523</v>
      </c>
      <c r="S2" s="1281" t="s">
        <v>380</v>
      </c>
      <c r="T2" s="1282" t="s">
        <v>523</v>
      </c>
      <c r="U2" s="1281" t="s">
        <v>380</v>
      </c>
      <c r="V2" s="1282" t="s">
        <v>523</v>
      </c>
      <c r="W2" s="1281" t="s">
        <v>380</v>
      </c>
      <c r="X2" s="1282" t="s">
        <v>523</v>
      </c>
      <c r="Y2" s="1281" t="s">
        <v>380</v>
      </c>
      <c r="Z2" s="1282" t="s">
        <v>523</v>
      </c>
      <c r="AA2" s="1281" t="s">
        <v>380</v>
      </c>
      <c r="AB2" s="1282" t="s">
        <v>523</v>
      </c>
      <c r="AC2" s="1281" t="s">
        <v>380</v>
      </c>
      <c r="AD2" s="1282" t="s">
        <v>523</v>
      </c>
      <c r="AE2" s="1281" t="s">
        <v>380</v>
      </c>
      <c r="AF2" s="1282" t="s">
        <v>523</v>
      </c>
      <c r="AG2" s="1281" t="s">
        <v>380</v>
      </c>
      <c r="AH2" s="1282" t="s">
        <v>523</v>
      </c>
      <c r="AI2" s="1281" t="s">
        <v>380</v>
      </c>
      <c r="AJ2" s="1282" t="s">
        <v>523</v>
      </c>
      <c r="AK2" s="1281" t="s">
        <v>380</v>
      </c>
      <c r="AL2" s="1282" t="s">
        <v>523</v>
      </c>
      <c r="AM2" s="1281" t="s">
        <v>380</v>
      </c>
      <c r="AN2" s="1282" t="s">
        <v>523</v>
      </c>
      <c r="AO2" s="1281" t="s">
        <v>380</v>
      </c>
      <c r="AP2" s="1282" t="s">
        <v>523</v>
      </c>
      <c r="AQ2" s="1281" t="s">
        <v>380</v>
      </c>
      <c r="AR2" s="1282" t="s">
        <v>523</v>
      </c>
      <c r="AS2" s="1281" t="s">
        <v>380</v>
      </c>
      <c r="AT2" s="1282" t="s">
        <v>523</v>
      </c>
      <c r="AU2" s="1281" t="s">
        <v>380</v>
      </c>
      <c r="AV2" s="1282" t="s">
        <v>523</v>
      </c>
      <c r="AW2" s="1281" t="s">
        <v>380</v>
      </c>
      <c r="AX2" s="1282" t="s">
        <v>523</v>
      </c>
      <c r="AY2" s="1281" t="s">
        <v>380</v>
      </c>
      <c r="AZ2" s="1282" t="s">
        <v>523</v>
      </c>
      <c r="BA2" s="1291" t="s">
        <v>380</v>
      </c>
    </row>
    <row r="3" spans="1:53" ht="14.25">
      <c r="A3" s="494" t="s">
        <v>260</v>
      </c>
      <c r="B3" s="1201"/>
      <c r="C3" s="1183"/>
      <c r="D3" s="1188"/>
      <c r="E3" s="1183"/>
      <c r="F3" s="1188"/>
      <c r="G3" s="1183"/>
      <c r="H3" s="1188"/>
      <c r="I3" s="1183"/>
      <c r="J3" s="1188"/>
      <c r="K3" s="1183"/>
      <c r="L3" s="1188"/>
      <c r="M3" s="1183"/>
      <c r="N3" s="1188"/>
      <c r="O3" s="1183"/>
      <c r="P3" s="1188"/>
      <c r="Q3" s="1183"/>
      <c r="R3" s="1188"/>
      <c r="S3" s="1183"/>
      <c r="T3" s="1188"/>
      <c r="U3" s="1183"/>
      <c r="V3" s="1188"/>
      <c r="W3" s="1183"/>
      <c r="X3" s="1188"/>
      <c r="Y3" s="1183"/>
      <c r="Z3" s="1188"/>
      <c r="AA3" s="1183"/>
      <c r="AB3" s="1188"/>
      <c r="AC3" s="446"/>
      <c r="AD3" s="622"/>
      <c r="AE3" s="446"/>
      <c r="AF3" s="622"/>
      <c r="AG3" s="446"/>
      <c r="AH3" s="622"/>
      <c r="AI3" s="446"/>
      <c r="AJ3" s="622"/>
      <c r="AK3" s="446"/>
      <c r="AL3" s="622"/>
      <c r="AM3" s="1189"/>
      <c r="AN3" s="522"/>
      <c r="AO3" s="446"/>
      <c r="AP3" s="622"/>
      <c r="AQ3" s="446"/>
      <c r="AR3" s="622"/>
      <c r="AS3" s="1183"/>
      <c r="AT3" s="1188"/>
      <c r="AU3" s="446"/>
      <c r="AV3" s="1188"/>
      <c r="AW3" s="446"/>
      <c r="AX3" s="1188"/>
      <c r="AY3" s="1183"/>
      <c r="AZ3" s="1188"/>
      <c r="BA3" s="1292"/>
    </row>
    <row r="4" spans="1:53" ht="13.5">
      <c r="A4" s="1191" t="s">
        <v>261</v>
      </c>
      <c r="B4" s="1193"/>
      <c r="C4" s="1184"/>
      <c r="D4" s="1186"/>
      <c r="E4" s="1184"/>
      <c r="F4" s="1186" t="s">
        <v>364</v>
      </c>
      <c r="G4" s="1184" t="s">
        <v>364</v>
      </c>
      <c r="H4" s="1186"/>
      <c r="I4" s="1184"/>
      <c r="J4" s="1186"/>
      <c r="K4" s="1184"/>
      <c r="L4" s="1186"/>
      <c r="M4" s="1184"/>
      <c r="N4" s="1186"/>
      <c r="O4" s="1184"/>
      <c r="P4" s="1186"/>
      <c r="Q4" s="1184"/>
      <c r="R4" s="1186"/>
      <c r="S4" s="1184"/>
      <c r="T4" s="1186"/>
      <c r="U4" s="1184"/>
      <c r="V4" s="1186"/>
      <c r="W4" s="1184"/>
      <c r="X4" s="1186"/>
      <c r="Y4" s="1184"/>
      <c r="Z4" s="1186"/>
      <c r="AA4" s="1184"/>
      <c r="AB4" s="1186"/>
      <c r="AC4" s="108"/>
      <c r="AD4" s="448"/>
      <c r="AE4" s="108"/>
      <c r="AF4" s="448"/>
      <c r="AG4" s="108"/>
      <c r="AH4" s="448"/>
      <c r="AI4" s="108"/>
      <c r="AJ4" s="448"/>
      <c r="AK4" s="108"/>
      <c r="AL4" s="448"/>
      <c r="AM4" s="1187"/>
      <c r="AN4" s="477"/>
      <c r="AO4" s="108"/>
      <c r="AP4" s="448"/>
      <c r="AQ4" s="108"/>
      <c r="AR4" s="448"/>
      <c r="AS4" s="1184"/>
      <c r="AT4" s="1186"/>
      <c r="AU4" s="108"/>
      <c r="AV4" s="1186"/>
      <c r="AW4" s="108"/>
      <c r="AX4" s="1186"/>
      <c r="AY4" s="1184"/>
      <c r="AZ4" s="1186"/>
      <c r="BA4" s="1293"/>
    </row>
    <row r="5" spans="1:53" ht="12.75">
      <c r="A5" s="439" t="s">
        <v>262</v>
      </c>
      <c r="B5" s="863"/>
      <c r="C5" s="1184"/>
      <c r="D5" s="1186"/>
      <c r="E5" s="1184"/>
      <c r="F5" s="1186"/>
      <c r="G5" s="1184"/>
      <c r="H5" s="1186"/>
      <c r="I5" s="1184"/>
      <c r="J5" s="1186"/>
      <c r="K5" s="1184"/>
      <c r="L5" s="1186"/>
      <c r="M5" s="1184"/>
      <c r="N5" s="1186"/>
      <c r="O5" s="1184"/>
      <c r="P5" s="1186"/>
      <c r="Q5" s="1184"/>
      <c r="R5" s="1186"/>
      <c r="S5" s="1184"/>
      <c r="T5" s="1186"/>
      <c r="U5" s="1184"/>
      <c r="V5" s="1186"/>
      <c r="W5" s="1184"/>
      <c r="X5" s="1186"/>
      <c r="Y5" s="1184"/>
      <c r="Z5" s="1186"/>
      <c r="AA5" s="1184"/>
      <c r="AB5" s="1186"/>
      <c r="AC5" s="108"/>
      <c r="AD5" s="448"/>
      <c r="AE5" s="108"/>
      <c r="AF5" s="448"/>
      <c r="AG5" s="108"/>
      <c r="AH5" s="448"/>
      <c r="AI5" s="108"/>
      <c r="AJ5" s="448"/>
      <c r="AK5" s="108"/>
      <c r="AL5" s="448"/>
      <c r="AM5" s="1187"/>
      <c r="AN5" s="477"/>
      <c r="AO5" s="108"/>
      <c r="AP5" s="448"/>
      <c r="AQ5" s="108"/>
      <c r="AR5" s="448"/>
      <c r="AS5" s="1184"/>
      <c r="AT5" s="1186"/>
      <c r="AU5" s="108"/>
      <c r="AV5" s="1186"/>
      <c r="AW5" s="108"/>
      <c r="AX5" s="1186"/>
      <c r="AY5" s="1184"/>
      <c r="AZ5" s="1186"/>
      <c r="BA5" s="1293"/>
    </row>
    <row r="6" spans="1:53" ht="12.75">
      <c r="A6" s="439" t="s">
        <v>263</v>
      </c>
      <c r="B6" s="863"/>
      <c r="C6" s="1184"/>
      <c r="D6" s="1186"/>
      <c r="E6" s="1184"/>
      <c r="F6" s="1186"/>
      <c r="G6" s="1184"/>
      <c r="H6" s="1186"/>
      <c r="I6" s="1184"/>
      <c r="J6" s="1186"/>
      <c r="K6" s="1184"/>
      <c r="L6" s="1186"/>
      <c r="M6" s="1184"/>
      <c r="N6" s="1186"/>
      <c r="O6" s="1184"/>
      <c r="P6" s="1186"/>
      <c r="Q6" s="1184"/>
      <c r="R6" s="1186"/>
      <c r="S6" s="1184"/>
      <c r="T6" s="1186"/>
      <c r="U6" s="1184"/>
      <c r="V6" s="1186"/>
      <c r="W6" s="1184"/>
      <c r="X6" s="1186"/>
      <c r="Y6" s="1184"/>
      <c r="Z6" s="1186"/>
      <c r="AA6" s="1184"/>
      <c r="AB6" s="1186"/>
      <c r="AC6" s="108"/>
      <c r="AD6" s="448"/>
      <c r="AE6" s="108">
        <v>452157</v>
      </c>
      <c r="AF6" s="448"/>
      <c r="AG6" s="108"/>
      <c r="AH6" s="448"/>
      <c r="AI6" s="108"/>
      <c r="AJ6" s="448"/>
      <c r="AK6" s="108"/>
      <c r="AL6" s="448"/>
      <c r="AM6" s="1187"/>
      <c r="AN6" s="477"/>
      <c r="AO6" s="108"/>
      <c r="AP6" s="448"/>
      <c r="AQ6" s="108"/>
      <c r="AR6" s="448"/>
      <c r="AS6" s="1184"/>
      <c r="AT6" s="1186"/>
      <c r="AU6" s="108"/>
      <c r="AV6" s="1186"/>
      <c r="AW6" s="108"/>
      <c r="AX6" s="1186">
        <v>119707134</v>
      </c>
      <c r="AY6" s="1184">
        <v>133011288</v>
      </c>
      <c r="AZ6" s="1186"/>
      <c r="BA6" s="116"/>
    </row>
    <row r="7" spans="1:53" ht="12.75">
      <c r="A7" s="439" t="s">
        <v>264</v>
      </c>
      <c r="B7" s="863"/>
      <c r="C7" s="1184"/>
      <c r="D7" s="1186"/>
      <c r="E7" s="1184"/>
      <c r="F7" s="1186"/>
      <c r="G7" s="1184"/>
      <c r="H7" s="1186"/>
      <c r="I7" s="1184"/>
      <c r="J7" s="1186"/>
      <c r="K7" s="1184"/>
      <c r="L7" s="1186"/>
      <c r="M7" s="1184"/>
      <c r="N7" s="1186"/>
      <c r="O7" s="1184"/>
      <c r="P7" s="1186"/>
      <c r="Q7" s="1184"/>
      <c r="R7" s="1186"/>
      <c r="S7" s="1184"/>
      <c r="T7" s="1186"/>
      <c r="U7" s="1184"/>
      <c r="V7" s="1186"/>
      <c r="W7" s="1184"/>
      <c r="X7" s="1186"/>
      <c r="Y7" s="1184"/>
      <c r="Z7" s="1186"/>
      <c r="AA7" s="1184"/>
      <c r="AB7" s="1186"/>
      <c r="AC7" s="108"/>
      <c r="AD7" s="448"/>
      <c r="AE7" s="108"/>
      <c r="AF7" s="448"/>
      <c r="AG7" s="108"/>
      <c r="AH7" s="448"/>
      <c r="AI7" s="108"/>
      <c r="AJ7" s="448"/>
      <c r="AK7" s="108"/>
      <c r="AL7" s="448"/>
      <c r="AM7" s="1187"/>
      <c r="AN7" s="477"/>
      <c r="AO7" s="108"/>
      <c r="AP7" s="448"/>
      <c r="AQ7" s="108"/>
      <c r="AR7" s="448"/>
      <c r="AS7" s="1184"/>
      <c r="AT7" s="1186"/>
      <c r="AU7" s="108"/>
      <c r="AV7" s="1186"/>
      <c r="AW7" s="108"/>
      <c r="AX7" s="1186">
        <v>124606</v>
      </c>
      <c r="AY7" s="1184">
        <v>142877</v>
      </c>
      <c r="AZ7" s="1186"/>
      <c r="BA7" s="116"/>
    </row>
    <row r="8" spans="1:53" ht="12.75">
      <c r="A8" s="439" t="s">
        <v>265</v>
      </c>
      <c r="B8" s="863"/>
      <c r="C8" s="1184"/>
      <c r="D8" s="1186"/>
      <c r="E8" s="1184"/>
      <c r="F8" s="1186"/>
      <c r="G8" s="1184"/>
      <c r="H8" s="1186"/>
      <c r="I8" s="1184"/>
      <c r="J8" s="1186"/>
      <c r="K8" s="1184"/>
      <c r="L8" s="1186"/>
      <c r="M8" s="1184"/>
      <c r="N8" s="1186"/>
      <c r="O8" s="1184"/>
      <c r="P8" s="1186"/>
      <c r="Q8" s="1184"/>
      <c r="R8" s="1186"/>
      <c r="S8" s="1184"/>
      <c r="T8" s="1186"/>
      <c r="U8" s="1184"/>
      <c r="V8" s="1186"/>
      <c r="W8" s="1184"/>
      <c r="X8" s="1186"/>
      <c r="Y8" s="1184"/>
      <c r="Z8" s="1186"/>
      <c r="AA8" s="1184"/>
      <c r="AB8" s="1186"/>
      <c r="AC8" s="108"/>
      <c r="AD8" s="448"/>
      <c r="AE8" s="108"/>
      <c r="AF8" s="448"/>
      <c r="AG8" s="108"/>
      <c r="AH8" s="448"/>
      <c r="AI8" s="108"/>
      <c r="AJ8" s="448"/>
      <c r="AK8" s="108"/>
      <c r="AL8" s="448"/>
      <c r="AM8" s="1187"/>
      <c r="AN8" s="477"/>
      <c r="AO8" s="108"/>
      <c r="AP8" s="448"/>
      <c r="AQ8" s="108"/>
      <c r="AR8" s="448"/>
      <c r="AS8" s="1184"/>
      <c r="AT8" s="1186"/>
      <c r="AU8" s="108"/>
      <c r="AV8" s="1186"/>
      <c r="AW8" s="108"/>
      <c r="AX8" s="1186"/>
      <c r="AY8" s="1184"/>
      <c r="AZ8" s="1186"/>
      <c r="BA8" s="116"/>
    </row>
    <row r="9" spans="1:53" ht="12.75">
      <c r="A9" s="439" t="s">
        <v>266</v>
      </c>
      <c r="B9" s="863">
        <v>2149461</v>
      </c>
      <c r="C9" s="1184">
        <v>1662941</v>
      </c>
      <c r="D9" s="1186">
        <v>25958</v>
      </c>
      <c r="E9" s="1184">
        <v>20238</v>
      </c>
      <c r="F9" s="1186"/>
      <c r="G9" s="1184"/>
      <c r="H9" s="1186">
        <v>4660330</v>
      </c>
      <c r="I9" s="1184">
        <v>4174678</v>
      </c>
      <c r="J9" s="1186">
        <v>260098</v>
      </c>
      <c r="K9" s="1184">
        <v>180478</v>
      </c>
      <c r="L9" s="1186">
        <v>33354</v>
      </c>
      <c r="M9" s="1184">
        <v>10576</v>
      </c>
      <c r="N9" s="1186">
        <v>633786</v>
      </c>
      <c r="O9" s="1184">
        <v>387320</v>
      </c>
      <c r="P9" s="1186">
        <v>146516</v>
      </c>
      <c r="Q9" s="1184">
        <v>95119</v>
      </c>
      <c r="R9" s="1186">
        <v>5330110</v>
      </c>
      <c r="S9" s="1184">
        <v>4568921</v>
      </c>
      <c r="T9" s="1186">
        <v>263873</v>
      </c>
      <c r="U9" s="1184">
        <v>157017</v>
      </c>
      <c r="V9" s="1186">
        <v>4240491</v>
      </c>
      <c r="W9" s="1184">
        <v>2990512</v>
      </c>
      <c r="X9" s="1186">
        <v>6628206</v>
      </c>
      <c r="Y9" s="1184">
        <v>4630874</v>
      </c>
      <c r="Z9" s="1186">
        <v>98054</v>
      </c>
      <c r="AA9" s="1184">
        <v>74790</v>
      </c>
      <c r="AB9" s="1186">
        <v>143482.22</v>
      </c>
      <c r="AC9" s="108">
        <v>86556.71</v>
      </c>
      <c r="AD9" s="448">
        <v>642898</v>
      </c>
      <c r="AE9" s="108">
        <v>439381</v>
      </c>
      <c r="AF9" s="448">
        <f>5322246</f>
        <v>5322246</v>
      </c>
      <c r="AG9" s="108">
        <v>4264484</v>
      </c>
      <c r="AH9" s="448"/>
      <c r="AI9" s="108">
        <v>582598</v>
      </c>
      <c r="AJ9" s="448">
        <v>635462</v>
      </c>
      <c r="AK9" s="108">
        <v>501103</v>
      </c>
      <c r="AL9" s="448"/>
      <c r="AM9" s="1187"/>
      <c r="AN9" s="477">
        <v>1136431</v>
      </c>
      <c r="AO9" s="108">
        <v>719065</v>
      </c>
      <c r="AP9" s="448">
        <v>630349</v>
      </c>
      <c r="AQ9" s="108">
        <v>431534</v>
      </c>
      <c r="AR9" s="448">
        <v>129071</v>
      </c>
      <c r="AS9" s="1184">
        <v>104707</v>
      </c>
      <c r="AT9" s="1186">
        <v>4686745</v>
      </c>
      <c r="AU9" s="108">
        <v>4201429</v>
      </c>
      <c r="AV9" s="1530">
        <f>SUM(B9+D9+F9+H9+J9+L9+N9+P9+R9+T9+V9+X9+Z9+AB9+AD9+AF9+AH9+AJ9+AL9+AN9+AP9+AR9+AT9)</f>
        <v>37796921.22</v>
      </c>
      <c r="AW9" s="166">
        <f>SUM(C9+E9+G9+I9+K9+M9+O9+Q9+S9+U9+W9+Y9+AA9+AC9+AE9+AG9+AI9+AK9+AM9+AO9+AQ9+AS9+AU9)</f>
        <v>30284321.71</v>
      </c>
      <c r="AX9" s="1186">
        <v>1010315825</v>
      </c>
      <c r="AY9" s="1184">
        <v>988946323</v>
      </c>
      <c r="AZ9" s="1186">
        <f>AV9+AX9</f>
        <v>1048112746.22</v>
      </c>
      <c r="BA9" s="114">
        <f>AW9+AY9</f>
        <v>1019230644.71</v>
      </c>
    </row>
    <row r="10" spans="1:53" ht="12.75">
      <c r="A10" s="439" t="s">
        <v>267</v>
      </c>
      <c r="B10" s="863"/>
      <c r="C10" s="1184"/>
      <c r="D10" s="1186"/>
      <c r="E10" s="1195"/>
      <c r="F10" s="128"/>
      <c r="G10" s="1184"/>
      <c r="H10" s="1186"/>
      <c r="I10" s="1184"/>
      <c r="J10" s="1186"/>
      <c r="K10" s="1184"/>
      <c r="L10" s="1186"/>
      <c r="M10" s="1184"/>
      <c r="N10" s="1186"/>
      <c r="O10" s="1184"/>
      <c r="P10" s="1186">
        <v>2631</v>
      </c>
      <c r="Q10" s="1184">
        <v>4381</v>
      </c>
      <c r="R10" s="1186"/>
      <c r="S10" s="1184"/>
      <c r="T10" s="1186"/>
      <c r="U10" s="1184"/>
      <c r="V10" s="1186"/>
      <c r="W10" s="1184"/>
      <c r="X10" s="1186"/>
      <c r="Y10" s="1184"/>
      <c r="Z10" s="1186"/>
      <c r="AA10" s="1184"/>
      <c r="AB10" s="1186"/>
      <c r="AC10" s="108"/>
      <c r="AD10" s="448"/>
      <c r="AE10" s="108"/>
      <c r="AF10" s="448"/>
      <c r="AG10" s="108"/>
      <c r="AH10" s="448"/>
      <c r="AI10" s="108"/>
      <c r="AJ10" s="448"/>
      <c r="AK10" s="108"/>
      <c r="AL10" s="448"/>
      <c r="AM10" s="1187"/>
      <c r="AN10" s="477">
        <v>2444350</v>
      </c>
      <c r="AO10" s="108">
        <v>2925750</v>
      </c>
      <c r="AP10" s="448"/>
      <c r="AQ10" s="108"/>
      <c r="AR10" s="448"/>
      <c r="AS10" s="1184"/>
      <c r="AT10" s="1186"/>
      <c r="AU10" s="108"/>
      <c r="AV10" s="1186"/>
      <c r="AW10" s="108"/>
      <c r="AX10" s="1186">
        <f>37069204+8697466+2</f>
        <v>45766672</v>
      </c>
      <c r="AY10" s="1184">
        <f>45313425+8866539+2</f>
        <v>54179966</v>
      </c>
      <c r="AZ10" s="1186"/>
      <c r="BA10" s="116"/>
    </row>
    <row r="11" spans="1:53" ht="13.5">
      <c r="A11" s="1191" t="s">
        <v>268</v>
      </c>
      <c r="B11" s="1193"/>
      <c r="C11" s="1184"/>
      <c r="D11" s="1186">
        <v>676785</v>
      </c>
      <c r="E11" s="1184">
        <v>663255</v>
      </c>
      <c r="F11" s="1186"/>
      <c r="G11" s="1184"/>
      <c r="H11" s="1186"/>
      <c r="I11" s="1184"/>
      <c r="J11" s="1186"/>
      <c r="K11" s="1184"/>
      <c r="L11" s="1186"/>
      <c r="M11" s="1184"/>
      <c r="N11" s="1186"/>
      <c r="O11" s="1184"/>
      <c r="P11" s="1186"/>
      <c r="Q11" s="1184"/>
      <c r="R11" s="1186">
        <v>2374</v>
      </c>
      <c r="S11" s="1184">
        <v>1274</v>
      </c>
      <c r="T11" s="1186"/>
      <c r="U11" s="1184"/>
      <c r="V11" s="1186"/>
      <c r="W11" s="1184"/>
      <c r="X11" s="1186"/>
      <c r="Y11" s="1184"/>
      <c r="Z11" s="1186"/>
      <c r="AA11" s="1184"/>
      <c r="AB11" s="1186"/>
      <c r="AC11" s="108"/>
      <c r="AD11" s="448"/>
      <c r="AE11" s="108"/>
      <c r="AF11" s="448"/>
      <c r="AG11" s="108"/>
      <c r="AH11" s="448"/>
      <c r="AI11" s="108"/>
      <c r="AJ11" s="448"/>
      <c r="AK11" s="108"/>
      <c r="AL11" s="448"/>
      <c r="AM11" s="1187"/>
      <c r="AN11" s="477"/>
      <c r="AO11" s="108"/>
      <c r="AP11" s="448"/>
      <c r="AQ11" s="108"/>
      <c r="AR11" s="448"/>
      <c r="AS11" s="1184"/>
      <c r="AT11" s="1186"/>
      <c r="AU11" s="108"/>
      <c r="AV11" s="1186"/>
      <c r="AW11" s="108"/>
      <c r="AX11" s="1186">
        <v>28132217</v>
      </c>
      <c r="AY11" s="1184">
        <v>27559958</v>
      </c>
      <c r="AZ11" s="1186"/>
      <c r="BA11" s="116"/>
    </row>
    <row r="12" spans="1:53" ht="13.5">
      <c r="A12" s="1191" t="s">
        <v>370</v>
      </c>
      <c r="B12" s="1193"/>
      <c r="C12" s="1184"/>
      <c r="D12" s="1186"/>
      <c r="E12" s="1184"/>
      <c r="F12" s="1186"/>
      <c r="G12" s="1184"/>
      <c r="H12" s="1186"/>
      <c r="I12" s="1184"/>
      <c r="J12" s="1186"/>
      <c r="K12" s="1184"/>
      <c r="L12" s="1186"/>
      <c r="M12" s="1184"/>
      <c r="N12" s="1186"/>
      <c r="O12" s="1184"/>
      <c r="P12" s="1186">
        <v>-1162</v>
      </c>
      <c r="Q12" s="1184">
        <v>-1162</v>
      </c>
      <c r="R12" s="1186"/>
      <c r="S12" s="1184"/>
      <c r="T12" s="1186">
        <v>262</v>
      </c>
      <c r="U12" s="1184">
        <v>2013</v>
      </c>
      <c r="V12" s="1186"/>
      <c r="W12" s="1184"/>
      <c r="X12" s="1186"/>
      <c r="Y12" s="1184"/>
      <c r="Z12" s="1186"/>
      <c r="AA12" s="1184"/>
      <c r="AB12" s="1186"/>
      <c r="AC12" s="108"/>
      <c r="AD12" s="448"/>
      <c r="AE12" s="108"/>
      <c r="AF12" s="448"/>
      <c r="AG12" s="108"/>
      <c r="AH12" s="448"/>
      <c r="AI12" s="108"/>
      <c r="AJ12" s="448"/>
      <c r="AK12" s="108"/>
      <c r="AL12" s="448"/>
      <c r="AM12" s="1187"/>
      <c r="AN12" s="477"/>
      <c r="AO12" s="108"/>
      <c r="AP12" s="448"/>
      <c r="AQ12" s="108"/>
      <c r="AR12" s="448"/>
      <c r="AS12" s="1184"/>
      <c r="AT12" s="1186"/>
      <c r="AU12" s="108"/>
      <c r="AV12" s="1186"/>
      <c r="AW12" s="108"/>
      <c r="AX12" s="1186">
        <v>-126213078</v>
      </c>
      <c r="AY12" s="1184">
        <v>-125613689</v>
      </c>
      <c r="AZ12" s="1186"/>
      <c r="BA12" s="116"/>
    </row>
    <row r="13" spans="1:53" s="1290" customFormat="1" ht="14.25">
      <c r="A13" s="1192" t="s">
        <v>54</v>
      </c>
      <c r="B13" s="1194">
        <f>B9</f>
        <v>2149461</v>
      </c>
      <c r="C13" s="1283">
        <f>C9</f>
        <v>1662941</v>
      </c>
      <c r="D13" s="1194">
        <v>702743</v>
      </c>
      <c r="E13" s="1284">
        <f>E9+E11</f>
        <v>683493</v>
      </c>
      <c r="F13" s="1285"/>
      <c r="G13" s="1283"/>
      <c r="H13" s="1194">
        <f>H9</f>
        <v>4660330</v>
      </c>
      <c r="I13" s="1283">
        <f>I9</f>
        <v>4174678</v>
      </c>
      <c r="J13" s="1194">
        <v>260098</v>
      </c>
      <c r="K13" s="1283">
        <f>K9</f>
        <v>180478</v>
      </c>
      <c r="L13" s="1194">
        <f>L9</f>
        <v>33354</v>
      </c>
      <c r="M13" s="1283">
        <f>SUM(M5:M11)</f>
        <v>10576</v>
      </c>
      <c r="N13" s="1194">
        <f>N9</f>
        <v>633786</v>
      </c>
      <c r="O13" s="1283">
        <f>SUM(O5:O11)</f>
        <v>387320</v>
      </c>
      <c r="P13" s="1194">
        <v>147985</v>
      </c>
      <c r="Q13" s="1283">
        <v>98338</v>
      </c>
      <c r="R13" s="1194">
        <v>5332485</v>
      </c>
      <c r="S13" s="1283">
        <f>SUM(S5:S11)</f>
        <v>4570195</v>
      </c>
      <c r="T13" s="1194">
        <v>264135</v>
      </c>
      <c r="U13" s="1283">
        <v>159030</v>
      </c>
      <c r="V13" s="1194">
        <v>4240491</v>
      </c>
      <c r="W13" s="1283">
        <f>SUM(W5:W11)</f>
        <v>2990512</v>
      </c>
      <c r="X13" s="1194">
        <v>6628206</v>
      </c>
      <c r="Y13" s="1283">
        <f>SUM(Y5:Y11)</f>
        <v>4630874</v>
      </c>
      <c r="Z13" s="1194">
        <v>98054</v>
      </c>
      <c r="AA13" s="1283">
        <f>SUM(AA5:AA11)</f>
        <v>74790</v>
      </c>
      <c r="AB13" s="1194">
        <v>143482.22</v>
      </c>
      <c r="AC13" s="1286">
        <f>SUM(AC5:AC11)</f>
        <v>86556.71</v>
      </c>
      <c r="AD13" s="1287">
        <v>642898</v>
      </c>
      <c r="AE13" s="1286">
        <f>SUM(AE5:AE11)</f>
        <v>891538</v>
      </c>
      <c r="AF13" s="1287">
        <f>AF9</f>
        <v>5322246</v>
      </c>
      <c r="AG13" s="1286">
        <f>AG9</f>
        <v>4264484</v>
      </c>
      <c r="AH13" s="1287"/>
      <c r="AI13" s="1286">
        <f>AI9</f>
        <v>582598</v>
      </c>
      <c r="AJ13" s="1287">
        <v>635462</v>
      </c>
      <c r="AK13" s="1286">
        <f>SUM(AK5:AK11)</f>
        <v>501103</v>
      </c>
      <c r="AL13" s="1287"/>
      <c r="AM13" s="1288"/>
      <c r="AN13" s="1289">
        <v>3580781</v>
      </c>
      <c r="AO13" s="1286">
        <f>SUM(AO5:AO11)</f>
        <v>3644815</v>
      </c>
      <c r="AP13" s="1287">
        <v>630349</v>
      </c>
      <c r="AQ13" s="1286">
        <f>SUM(AQ5:AQ11)</f>
        <v>431534</v>
      </c>
      <c r="AR13" s="1287">
        <v>129071</v>
      </c>
      <c r="AS13" s="1283">
        <f>SUM(AS5:AS11)</f>
        <v>104707</v>
      </c>
      <c r="AT13" s="1194">
        <v>4686745</v>
      </c>
      <c r="AU13" s="1286">
        <f>AU9</f>
        <v>4201429</v>
      </c>
      <c r="AV13" s="1285">
        <f>SUM(B13+D13+F13+H13+J13+L13+N13+P13+R13+T13+V13+X13+Z13+AB13+AD13+AF13+AH13+AJ13+AL13+AN13+AP13+AR13+AT13)</f>
        <v>40922162.22</v>
      </c>
      <c r="AW13" s="1531">
        <f>SUM(C13+E13+G13+I13+K13+M13+O13+Q13+S13+U13+W13+Y13+AA13+AC13+AE13+AG13+AI13+AK13+AM13+AO13+AQ13+AS13+AU13)</f>
        <v>34331989.71</v>
      </c>
      <c r="AX13" s="1194">
        <f>SUM(AX6:AX12)</f>
        <v>1077833376</v>
      </c>
      <c r="AY13" s="1283">
        <f>SUM(AY6:AY12)</f>
        <v>1078226723</v>
      </c>
      <c r="AZ13" s="1285">
        <f>AV13+AX13</f>
        <v>1118755538.22</v>
      </c>
      <c r="BA13" s="834">
        <f>AW13+AY13</f>
        <v>1112558712.71</v>
      </c>
    </row>
    <row r="14" spans="1:53" ht="14.25">
      <c r="A14" s="493" t="s">
        <v>269</v>
      </c>
      <c r="B14" s="1112"/>
      <c r="C14" s="1184"/>
      <c r="D14" s="1186"/>
      <c r="E14" s="1184"/>
      <c r="F14" s="1186"/>
      <c r="G14" s="1184"/>
      <c r="H14" s="1186"/>
      <c r="I14" s="1184"/>
      <c r="J14" s="1186"/>
      <c r="K14" s="1184"/>
      <c r="L14" s="1186"/>
      <c r="M14" s="1184"/>
      <c r="N14" s="1186"/>
      <c r="O14" s="1184"/>
      <c r="P14" s="1186"/>
      <c r="Q14" s="1184"/>
      <c r="R14" s="1186"/>
      <c r="S14" s="1184"/>
      <c r="T14" s="1186"/>
      <c r="U14" s="1184"/>
      <c r="V14" s="1186"/>
      <c r="W14" s="1184"/>
      <c r="X14" s="1186"/>
      <c r="Y14" s="1184"/>
      <c r="Z14" s="1186"/>
      <c r="AA14" s="1184"/>
      <c r="AB14" s="1186"/>
      <c r="AC14" s="108"/>
      <c r="AD14" s="448"/>
      <c r="AE14" s="108"/>
      <c r="AF14" s="448"/>
      <c r="AG14" s="108"/>
      <c r="AH14" s="448"/>
      <c r="AI14" s="108"/>
      <c r="AJ14" s="448"/>
      <c r="AK14" s="108"/>
      <c r="AL14" s="448"/>
      <c r="AM14" s="1187"/>
      <c r="AN14" s="477"/>
      <c r="AO14" s="108"/>
      <c r="AP14" s="448"/>
      <c r="AQ14" s="108"/>
      <c r="AR14" s="448"/>
      <c r="AS14" s="1184"/>
      <c r="AT14" s="1186"/>
      <c r="AU14" s="108"/>
      <c r="AV14" s="1186"/>
      <c r="AW14" s="108"/>
      <c r="AX14" s="1186"/>
      <c r="AY14" s="1184"/>
      <c r="AZ14" s="1186"/>
      <c r="BA14" s="116"/>
    </row>
    <row r="15" spans="1:53" ht="12.75">
      <c r="A15" s="439" t="s">
        <v>270</v>
      </c>
      <c r="B15" s="863"/>
      <c r="C15" s="1184"/>
      <c r="D15" s="1186"/>
      <c r="E15" s="1184"/>
      <c r="F15" s="1186"/>
      <c r="G15" s="1184"/>
      <c r="H15" s="1186"/>
      <c r="I15" s="1184"/>
      <c r="J15" s="1186"/>
      <c r="K15" s="1184"/>
      <c r="L15" s="1186"/>
      <c r="M15" s="1184"/>
      <c r="N15" s="1186"/>
      <c r="O15" s="1184"/>
      <c r="P15" s="1186"/>
      <c r="Q15" s="1184"/>
      <c r="R15" s="1186"/>
      <c r="S15" s="1184"/>
      <c r="T15" s="1186"/>
      <c r="U15" s="1184"/>
      <c r="V15" s="1186"/>
      <c r="W15" s="1184"/>
      <c r="X15" s="1186"/>
      <c r="Y15" s="1184"/>
      <c r="Z15" s="1186"/>
      <c r="AA15" s="1184"/>
      <c r="AB15" s="1186"/>
      <c r="AC15" s="108"/>
      <c r="AD15" s="448"/>
      <c r="AE15" s="108"/>
      <c r="AF15" s="448"/>
      <c r="AG15" s="108"/>
      <c r="AH15" s="448"/>
      <c r="AI15" s="108"/>
      <c r="AJ15" s="448"/>
      <c r="AK15" s="108"/>
      <c r="AL15" s="448"/>
      <c r="AM15" s="1187"/>
      <c r="AN15" s="477"/>
      <c r="AO15" s="108"/>
      <c r="AP15" s="448"/>
      <c r="AQ15" s="108"/>
      <c r="AR15" s="448"/>
      <c r="AS15" s="1184"/>
      <c r="AT15" s="1186"/>
      <c r="AU15" s="108"/>
      <c r="AV15" s="1186"/>
      <c r="AW15" s="108"/>
      <c r="AX15" s="1186">
        <v>23307489</v>
      </c>
      <c r="AY15" s="1184">
        <v>28562930</v>
      </c>
      <c r="AZ15" s="1186"/>
      <c r="BA15" s="116"/>
    </row>
    <row r="16" spans="1:53" ht="12.75">
      <c r="A16" s="439" t="s">
        <v>271</v>
      </c>
      <c r="B16" s="863"/>
      <c r="C16" s="1184"/>
      <c r="D16" s="1186"/>
      <c r="E16" s="1195"/>
      <c r="F16" s="128"/>
      <c r="G16" s="1184"/>
      <c r="H16" s="1186"/>
      <c r="I16" s="1184"/>
      <c r="J16" s="1186"/>
      <c r="K16" s="1184"/>
      <c r="L16" s="1186"/>
      <c r="M16" s="1184"/>
      <c r="N16" s="1186"/>
      <c r="O16" s="1184"/>
      <c r="P16" s="1186"/>
      <c r="Q16" s="1184"/>
      <c r="R16" s="1186"/>
      <c r="S16" s="1184"/>
      <c r="T16" s="1186"/>
      <c r="U16" s="1184"/>
      <c r="V16" s="1186"/>
      <c r="W16" s="1184"/>
      <c r="X16" s="1186"/>
      <c r="Y16" s="1184"/>
      <c r="Z16" s="1186"/>
      <c r="AA16" s="1184"/>
      <c r="AB16" s="1186"/>
      <c r="AC16" s="108"/>
      <c r="AD16" s="448"/>
      <c r="AE16" s="108"/>
      <c r="AF16" s="448"/>
      <c r="AG16" s="108"/>
      <c r="AH16" s="448"/>
      <c r="AI16" s="108"/>
      <c r="AJ16" s="448"/>
      <c r="AK16" s="108"/>
      <c r="AL16" s="448"/>
      <c r="AM16" s="1187"/>
      <c r="AN16" s="477">
        <v>2444350</v>
      </c>
      <c r="AO16" s="108">
        <v>2925750</v>
      </c>
      <c r="AP16" s="448"/>
      <c r="AQ16" s="108"/>
      <c r="AR16" s="448"/>
      <c r="AS16" s="1184"/>
      <c r="AT16" s="1186"/>
      <c r="AU16" s="108"/>
      <c r="AV16" s="1186"/>
      <c r="AW16" s="108"/>
      <c r="AX16" s="1186"/>
      <c r="AY16" s="1184"/>
      <c r="AZ16" s="1186"/>
      <c r="BA16" s="116"/>
    </row>
    <row r="17" spans="1:53" ht="12.75">
      <c r="A17" s="439" t="s">
        <v>272</v>
      </c>
      <c r="B17" s="863"/>
      <c r="C17" s="1184"/>
      <c r="D17" s="1186"/>
      <c r="E17" s="1184"/>
      <c r="F17" s="1186"/>
      <c r="G17" s="1184"/>
      <c r="H17" s="1186"/>
      <c r="I17" s="1184"/>
      <c r="J17" s="1186"/>
      <c r="K17" s="1184"/>
      <c r="L17" s="1186"/>
      <c r="M17" s="1184"/>
      <c r="N17" s="1186"/>
      <c r="O17" s="1184"/>
      <c r="P17" s="1186"/>
      <c r="Q17" s="1184"/>
      <c r="R17" s="1186"/>
      <c r="S17" s="1184"/>
      <c r="T17" s="1186"/>
      <c r="U17" s="1184"/>
      <c r="V17" s="1186"/>
      <c r="W17" s="1184"/>
      <c r="X17" s="1186"/>
      <c r="Y17" s="1184"/>
      <c r="Z17" s="1186"/>
      <c r="AA17" s="1184"/>
      <c r="AB17" s="1186"/>
      <c r="AC17" s="108"/>
      <c r="AD17" s="448"/>
      <c r="AE17" s="108"/>
      <c r="AF17" s="448"/>
      <c r="AG17" s="108"/>
      <c r="AH17" s="448"/>
      <c r="AI17" s="108"/>
      <c r="AJ17" s="448"/>
      <c r="AK17" s="108"/>
      <c r="AL17" s="448"/>
      <c r="AM17" s="1187"/>
      <c r="AN17" s="477"/>
      <c r="AO17" s="108"/>
      <c r="AP17" s="448"/>
      <c r="AQ17" s="108"/>
      <c r="AR17" s="448"/>
      <c r="AS17" s="1184"/>
      <c r="AT17" s="1186"/>
      <c r="AU17" s="108"/>
      <c r="AV17" s="1186"/>
      <c r="AW17" s="108"/>
      <c r="AX17" s="1186"/>
      <c r="AY17" s="1184"/>
      <c r="AZ17" s="1186"/>
      <c r="BA17" s="116"/>
    </row>
    <row r="18" spans="1:53" ht="12.75">
      <c r="A18" s="439" t="s">
        <v>273</v>
      </c>
      <c r="B18" s="863"/>
      <c r="C18" s="1184"/>
      <c r="D18" s="1186"/>
      <c r="E18" s="1184"/>
      <c r="F18" s="1186"/>
      <c r="G18" s="1184"/>
      <c r="H18" s="1186"/>
      <c r="I18" s="1184"/>
      <c r="J18" s="1186"/>
      <c r="K18" s="1184"/>
      <c r="L18" s="1186"/>
      <c r="M18" s="1184"/>
      <c r="N18" s="1186"/>
      <c r="O18" s="1184"/>
      <c r="P18" s="1186"/>
      <c r="Q18" s="1184"/>
      <c r="R18" s="1186"/>
      <c r="S18" s="1184"/>
      <c r="T18" s="1186"/>
      <c r="U18" s="1184"/>
      <c r="V18" s="1186"/>
      <c r="W18" s="1184"/>
      <c r="X18" s="1186"/>
      <c r="Y18" s="1184"/>
      <c r="Z18" s="1186"/>
      <c r="AA18" s="1184"/>
      <c r="AB18" s="1186"/>
      <c r="AC18" s="108"/>
      <c r="AD18" s="448"/>
      <c r="AE18" s="108"/>
      <c r="AF18" s="448"/>
      <c r="AG18" s="108"/>
      <c r="AH18" s="448"/>
      <c r="AI18" s="108"/>
      <c r="AJ18" s="448"/>
      <c r="AK18" s="108"/>
      <c r="AL18" s="448"/>
      <c r="AM18" s="1187"/>
      <c r="AN18" s="477"/>
      <c r="AO18" s="108"/>
      <c r="AP18" s="448"/>
      <c r="AQ18" s="108"/>
      <c r="AR18" s="448"/>
      <c r="AS18" s="1184"/>
      <c r="AT18" s="1186"/>
      <c r="AU18" s="108"/>
      <c r="AV18" s="1186"/>
      <c r="AW18" s="108"/>
      <c r="AX18" s="1186">
        <v>116239506</v>
      </c>
      <c r="AY18" s="1184">
        <v>137349569</v>
      </c>
      <c r="AZ18" s="1186"/>
      <c r="BA18" s="116"/>
    </row>
    <row r="19" spans="1:53" ht="12.75">
      <c r="A19" s="439" t="s">
        <v>274</v>
      </c>
      <c r="B19" s="863">
        <f>B9</f>
        <v>2149461</v>
      </c>
      <c r="C19" s="1184">
        <f>C9</f>
        <v>1662941</v>
      </c>
      <c r="D19" s="1186">
        <v>25958</v>
      </c>
      <c r="E19" s="1184">
        <v>20238</v>
      </c>
      <c r="F19" s="1186"/>
      <c r="G19" s="1184"/>
      <c r="H19" s="1186">
        <f>H13</f>
        <v>4660330</v>
      </c>
      <c r="I19" s="1184">
        <f>I9</f>
        <v>4174678</v>
      </c>
      <c r="J19" s="1186">
        <f>J13</f>
        <v>260098</v>
      </c>
      <c r="K19" s="1184">
        <f>K9</f>
        <v>180478</v>
      </c>
      <c r="L19" s="1186">
        <f>L9</f>
        <v>33354</v>
      </c>
      <c r="M19" s="1184">
        <v>10576</v>
      </c>
      <c r="N19" s="1186">
        <f>N9</f>
        <v>633786</v>
      </c>
      <c r="O19" s="1184">
        <v>387320</v>
      </c>
      <c r="P19" s="1186">
        <f>P9</f>
        <v>146516</v>
      </c>
      <c r="Q19" s="1184">
        <f>Q9</f>
        <v>95119</v>
      </c>
      <c r="R19" s="1186">
        <v>5330110</v>
      </c>
      <c r="S19" s="1184">
        <v>4568921</v>
      </c>
      <c r="T19" s="1186">
        <v>263873</v>
      </c>
      <c r="U19" s="1184">
        <v>157017</v>
      </c>
      <c r="V19" s="1186">
        <v>4240491</v>
      </c>
      <c r="W19" s="1184">
        <v>2990512</v>
      </c>
      <c r="X19" s="1186">
        <v>6628206</v>
      </c>
      <c r="Y19" s="1184">
        <f>Y13</f>
        <v>4630874</v>
      </c>
      <c r="Z19" s="1186">
        <v>98054</v>
      </c>
      <c r="AA19" s="1184">
        <f>AA13</f>
        <v>74790</v>
      </c>
      <c r="AB19" s="1186">
        <v>143482.22</v>
      </c>
      <c r="AC19" s="108">
        <f>AC13</f>
        <v>86556.71</v>
      </c>
      <c r="AD19" s="448"/>
      <c r="AE19" s="108">
        <v>452157</v>
      </c>
      <c r="AF19" s="448">
        <f>AF9</f>
        <v>5322246</v>
      </c>
      <c r="AG19" s="108">
        <f>AG13</f>
        <v>4264484</v>
      </c>
      <c r="AH19" s="448"/>
      <c r="AI19" s="108">
        <f>AI9</f>
        <v>582598</v>
      </c>
      <c r="AJ19" s="448">
        <v>635462</v>
      </c>
      <c r="AK19" s="108">
        <f>AK13</f>
        <v>501103</v>
      </c>
      <c r="AL19" s="448"/>
      <c r="AM19" s="1187"/>
      <c r="AN19" s="477">
        <v>1136431</v>
      </c>
      <c r="AO19" s="108">
        <v>719065</v>
      </c>
      <c r="AP19" s="448">
        <v>630349</v>
      </c>
      <c r="AQ19" s="108">
        <v>431534</v>
      </c>
      <c r="AR19" s="448">
        <v>129071</v>
      </c>
      <c r="AS19" s="1184">
        <f>AS13</f>
        <v>104707</v>
      </c>
      <c r="AT19" s="1186">
        <v>4686745</v>
      </c>
      <c r="AU19" s="108">
        <f>AU9</f>
        <v>4201429</v>
      </c>
      <c r="AV19" s="1186">
        <f>SUM(B19+D19+F19+H19+J19+L19+N19+P19+R19+T19+V19+X19+Z19+AB19+AD19+AF19+AH19+AJ19+AL19+AN19+AP19+AR19+AT19)</f>
        <v>37154023.22</v>
      </c>
      <c r="AW19" s="1532">
        <f>SUM(C19+E19+G19+I19+K19+M19+O19+Q19+S19+U19+W19+Y19+AA19+AC19+AE19+AG19+AI19+AK19+AM19+AO19+AQ19+AS19+AU19)</f>
        <v>30297097.71</v>
      </c>
      <c r="AX19" s="1186">
        <v>1010315825</v>
      </c>
      <c r="AY19" s="1184">
        <v>988946323</v>
      </c>
      <c r="AZ19" s="1186">
        <f>AV19+AX19</f>
        <v>1047469848.22</v>
      </c>
      <c r="BA19" s="116">
        <f>AW19+AY19</f>
        <v>1019243420.71</v>
      </c>
    </row>
    <row r="20" spans="1:53" ht="12.75">
      <c r="A20" s="439" t="s">
        <v>275</v>
      </c>
      <c r="B20" s="863"/>
      <c r="C20" s="1184"/>
      <c r="D20" s="1186">
        <v>676785</v>
      </c>
      <c r="E20" s="1184">
        <v>663255</v>
      </c>
      <c r="F20" s="1186"/>
      <c r="G20" s="1184"/>
      <c r="H20" s="1186"/>
      <c r="I20" s="1184"/>
      <c r="J20" s="1186"/>
      <c r="K20" s="1184"/>
      <c r="L20" s="1186"/>
      <c r="M20" s="1184"/>
      <c r="N20" s="1186"/>
      <c r="O20" s="1184"/>
      <c r="P20" s="1186">
        <f>P10</f>
        <v>2631</v>
      </c>
      <c r="Q20" s="1184">
        <f>Q10</f>
        <v>4381</v>
      </c>
      <c r="R20" s="1186">
        <v>2374</v>
      </c>
      <c r="S20" s="1184">
        <v>1274</v>
      </c>
      <c r="T20" s="1186">
        <v>262</v>
      </c>
      <c r="U20" s="1184">
        <v>2013</v>
      </c>
      <c r="V20" s="1186"/>
      <c r="W20" s="1184"/>
      <c r="X20" s="1186"/>
      <c r="Y20" s="1184"/>
      <c r="Z20" s="1186"/>
      <c r="AA20" s="1184"/>
      <c r="AB20" s="1186"/>
      <c r="AC20" s="108"/>
      <c r="AD20" s="448">
        <v>642898</v>
      </c>
      <c r="AE20" s="108">
        <v>439381</v>
      </c>
      <c r="AF20" s="448"/>
      <c r="AG20" s="108"/>
      <c r="AH20" s="448"/>
      <c r="AI20" s="108"/>
      <c r="AJ20" s="448"/>
      <c r="AK20" s="108"/>
      <c r="AL20" s="448"/>
      <c r="AM20" s="1187"/>
      <c r="AN20" s="477"/>
      <c r="AO20" s="108"/>
      <c r="AP20" s="448"/>
      <c r="AQ20" s="108"/>
      <c r="AR20" s="448"/>
      <c r="AS20" s="1184"/>
      <c r="AT20" s="1186"/>
      <c r="AU20" s="108"/>
      <c r="AV20" s="1186"/>
      <c r="AW20" s="108"/>
      <c r="AX20" s="1186">
        <f>3297832+528053+13049347+61600+3823364+266664+33156710+2+62</f>
        <v>54183634</v>
      </c>
      <c r="AY20" s="1184">
        <f>3558248+625998+19252343+61600+4256937+333330+42907006+2+62</f>
        <v>70995526</v>
      </c>
      <c r="AZ20" s="1186"/>
      <c r="BA20" s="116"/>
    </row>
    <row r="21" spans="1:53" ht="13.5">
      <c r="A21" s="1191" t="s">
        <v>370</v>
      </c>
      <c r="B21" s="1193"/>
      <c r="C21" s="1184"/>
      <c r="D21" s="1186"/>
      <c r="E21" s="1184"/>
      <c r="F21" s="1186"/>
      <c r="G21" s="1184"/>
      <c r="H21" s="1186"/>
      <c r="I21" s="1184"/>
      <c r="J21" s="1186"/>
      <c r="K21" s="1184"/>
      <c r="L21" s="1186"/>
      <c r="M21" s="1184"/>
      <c r="N21" s="1186"/>
      <c r="O21" s="1184"/>
      <c r="P21" s="1186">
        <f>P12</f>
        <v>-1162</v>
      </c>
      <c r="Q21" s="1184">
        <v>-1162</v>
      </c>
      <c r="R21" s="1186"/>
      <c r="S21" s="1184"/>
      <c r="T21" s="1186"/>
      <c r="U21" s="1184"/>
      <c r="V21" s="1186"/>
      <c r="W21" s="1184"/>
      <c r="X21" s="1186"/>
      <c r="Y21" s="1184"/>
      <c r="Z21" s="1186"/>
      <c r="AA21" s="1184"/>
      <c r="AB21" s="1186"/>
      <c r="AC21" s="108"/>
      <c r="AD21" s="448"/>
      <c r="AE21" s="108"/>
      <c r="AF21" s="448"/>
      <c r="AG21" s="108"/>
      <c r="AH21" s="448"/>
      <c r="AI21" s="108"/>
      <c r="AJ21" s="448"/>
      <c r="AK21" s="108"/>
      <c r="AL21" s="448"/>
      <c r="AM21" s="1187"/>
      <c r="AN21" s="477"/>
      <c r="AO21" s="108"/>
      <c r="AP21" s="448"/>
      <c r="AQ21" s="108"/>
      <c r="AR21" s="448"/>
      <c r="AS21" s="1184"/>
      <c r="AT21" s="1186"/>
      <c r="AU21" s="108"/>
      <c r="AV21" s="1186"/>
      <c r="AW21" s="108"/>
      <c r="AX21" s="1186">
        <v>-126213078</v>
      </c>
      <c r="AY21" s="1184">
        <v>-147627625</v>
      </c>
      <c r="AZ21" s="1186"/>
      <c r="BA21" s="116"/>
    </row>
    <row r="22" spans="1:53" s="1274" customFormat="1" ht="14.25">
      <c r="A22" s="493" t="s">
        <v>54</v>
      </c>
      <c r="B22" s="1112">
        <f>B9</f>
        <v>2149461</v>
      </c>
      <c r="C22" s="1203">
        <f>C9</f>
        <v>1662941</v>
      </c>
      <c r="D22" s="1206">
        <v>702743</v>
      </c>
      <c r="E22" s="1270">
        <f>E19+E20</f>
        <v>683493</v>
      </c>
      <c r="F22" s="1271"/>
      <c r="G22" s="1203"/>
      <c r="H22" s="1206">
        <f>H13</f>
        <v>4660330</v>
      </c>
      <c r="I22" s="1203">
        <f>I19</f>
        <v>4174678</v>
      </c>
      <c r="J22" s="1206">
        <f>J13</f>
        <v>260098</v>
      </c>
      <c r="K22" s="1203">
        <f>K9</f>
        <v>180478</v>
      </c>
      <c r="L22" s="1206">
        <f>L9</f>
        <v>33354</v>
      </c>
      <c r="M22" s="1203">
        <v>10576</v>
      </c>
      <c r="N22" s="1206">
        <f>N9</f>
        <v>633786</v>
      </c>
      <c r="O22" s="1203">
        <f>O19</f>
        <v>387320</v>
      </c>
      <c r="P22" s="1206">
        <f>P13</f>
        <v>147985</v>
      </c>
      <c r="Q22" s="1203">
        <f>Q13</f>
        <v>98338</v>
      </c>
      <c r="R22" s="1206">
        <v>5332485</v>
      </c>
      <c r="S22" s="1203">
        <f>S13</f>
        <v>4570195</v>
      </c>
      <c r="T22" s="1206">
        <v>264135</v>
      </c>
      <c r="U22" s="1203">
        <v>159030</v>
      </c>
      <c r="V22" s="1206">
        <v>4240491</v>
      </c>
      <c r="W22" s="1203">
        <f>W13</f>
        <v>2990512</v>
      </c>
      <c r="X22" s="1206">
        <v>6628206</v>
      </c>
      <c r="Y22" s="1203">
        <f>Y13</f>
        <v>4630874</v>
      </c>
      <c r="Z22" s="1206">
        <v>98054</v>
      </c>
      <c r="AA22" s="1203">
        <f>AA19</f>
        <v>74790</v>
      </c>
      <c r="AB22" s="1206">
        <v>143482.22</v>
      </c>
      <c r="AC22" s="1202">
        <f>AC19</f>
        <v>86556.71</v>
      </c>
      <c r="AD22" s="1208">
        <v>642898</v>
      </c>
      <c r="AE22" s="1202">
        <f>AE13</f>
        <v>891538</v>
      </c>
      <c r="AF22" s="1208">
        <f>AF9</f>
        <v>5322246</v>
      </c>
      <c r="AG22" s="1202">
        <f>AG19</f>
        <v>4264484</v>
      </c>
      <c r="AH22" s="1208"/>
      <c r="AI22" s="1202">
        <f>AI9</f>
        <v>582598</v>
      </c>
      <c r="AJ22" s="1208">
        <v>635462</v>
      </c>
      <c r="AK22" s="1202">
        <f>AK19</f>
        <v>501103</v>
      </c>
      <c r="AL22" s="1208"/>
      <c r="AM22" s="1272"/>
      <c r="AN22" s="1273">
        <v>3580781</v>
      </c>
      <c r="AO22" s="1202">
        <f>AO13</f>
        <v>3644815</v>
      </c>
      <c r="AP22" s="1208">
        <f>AP9</f>
        <v>630349</v>
      </c>
      <c r="AQ22" s="1202">
        <f>AQ9</f>
        <v>431534</v>
      </c>
      <c r="AR22" s="1208">
        <v>129071</v>
      </c>
      <c r="AS22" s="1203">
        <f>AS19</f>
        <v>104707</v>
      </c>
      <c r="AT22" s="1206">
        <v>4686745</v>
      </c>
      <c r="AU22" s="1202">
        <f>AU9</f>
        <v>4201429</v>
      </c>
      <c r="AV22" s="1206">
        <f>SUM(B22+D22+F22+H22+J22+L22+N22+P22+R22+T22+V22+X22+Z22+AB22+AD22+AF22+AH22+AJ22+AL22+AN22+AP22+AR22+AT22)</f>
        <v>40922162.22</v>
      </c>
      <c r="AW22" s="1533">
        <f>SUM(C22+E22+G22+I22+K22+M22+O22+Q22+S22+U22+W22+Y22+AA22+AC22+AE22+AG22+AI22+AK22+AM22+AO22+AQ22+AS22+AU22)</f>
        <v>34331989.71</v>
      </c>
      <c r="AX22" s="1206">
        <v>1077833376</v>
      </c>
      <c r="AY22" s="1203">
        <v>1078226723</v>
      </c>
      <c r="AZ22" s="1206">
        <f>AV22+AX22</f>
        <v>1118755538.22</v>
      </c>
      <c r="BA22" s="136">
        <f>AW22+AY22</f>
        <v>1112558712.71</v>
      </c>
    </row>
    <row r="23" spans="1:53" ht="14.25">
      <c r="A23" s="493" t="s">
        <v>276</v>
      </c>
      <c r="B23" s="1112"/>
      <c r="C23" s="1184"/>
      <c r="D23" s="1186"/>
      <c r="E23" s="1184"/>
      <c r="F23" s="1186"/>
      <c r="G23" s="1184"/>
      <c r="H23" s="1186"/>
      <c r="I23" s="1184"/>
      <c r="J23" s="1186"/>
      <c r="K23" s="1184"/>
      <c r="L23" s="1186"/>
      <c r="M23" s="1184"/>
      <c r="N23" s="1186"/>
      <c r="O23" s="1184"/>
      <c r="P23" s="1186"/>
      <c r="Q23" s="1184"/>
      <c r="R23" s="1186"/>
      <c r="S23" s="1184"/>
      <c r="T23" s="1186"/>
      <c r="U23" s="1184"/>
      <c r="V23" s="1186"/>
      <c r="W23" s="1184"/>
      <c r="X23" s="1186"/>
      <c r="Y23" s="1184"/>
      <c r="Z23" s="1186"/>
      <c r="AA23" s="1184"/>
      <c r="AB23" s="1186"/>
      <c r="AC23" s="108"/>
      <c r="AD23" s="448"/>
      <c r="AE23" s="108"/>
      <c r="AF23" s="448"/>
      <c r="AG23" s="108"/>
      <c r="AH23" s="448"/>
      <c r="AI23" s="108"/>
      <c r="AJ23" s="448"/>
      <c r="AK23" s="108"/>
      <c r="AL23" s="448"/>
      <c r="AM23" s="1187"/>
      <c r="AN23" s="477"/>
      <c r="AO23" s="108"/>
      <c r="AP23" s="448"/>
      <c r="AQ23" s="108"/>
      <c r="AR23" s="448"/>
      <c r="AS23" s="1184"/>
      <c r="AT23" s="1186"/>
      <c r="AU23" s="108"/>
      <c r="AV23" s="1186"/>
      <c r="AW23" s="108"/>
      <c r="AX23" s="1186"/>
      <c r="AY23" s="1184"/>
      <c r="AZ23" s="1186"/>
      <c r="BA23" s="116"/>
    </row>
    <row r="24" spans="1:53" ht="12.75">
      <c r="A24" s="439" t="s">
        <v>277</v>
      </c>
      <c r="B24" s="863"/>
      <c r="C24" s="1184"/>
      <c r="D24" s="1186"/>
      <c r="E24" s="1184"/>
      <c r="F24" s="1186"/>
      <c r="G24" s="1184"/>
      <c r="H24" s="1186"/>
      <c r="I24" s="1184"/>
      <c r="J24" s="1186"/>
      <c r="K24" s="1184"/>
      <c r="L24" s="1186"/>
      <c r="M24" s="1184"/>
      <c r="N24" s="1186"/>
      <c r="O24" s="1184"/>
      <c r="P24" s="1186"/>
      <c r="Q24" s="1184"/>
      <c r="R24" s="1186"/>
      <c r="S24" s="1184"/>
      <c r="T24" s="1186"/>
      <c r="U24" s="1184"/>
      <c r="V24" s="1186"/>
      <c r="W24" s="1184"/>
      <c r="X24" s="1186"/>
      <c r="Y24" s="1184"/>
      <c r="Z24" s="1186"/>
      <c r="AA24" s="1184"/>
      <c r="AB24" s="1186"/>
      <c r="AC24" s="108"/>
      <c r="AD24" s="448"/>
      <c r="AE24" s="108"/>
      <c r="AF24" s="448"/>
      <c r="AG24" s="108"/>
      <c r="AH24" s="448"/>
      <c r="AI24" s="108"/>
      <c r="AJ24" s="448"/>
      <c r="AK24" s="108"/>
      <c r="AL24" s="448"/>
      <c r="AM24" s="1187"/>
      <c r="AN24" s="477"/>
      <c r="AO24" s="108"/>
      <c r="AP24" s="448"/>
      <c r="AQ24" s="108"/>
      <c r="AR24" s="448"/>
      <c r="AS24" s="1184"/>
      <c r="AT24" s="1186"/>
      <c r="AU24" s="108"/>
      <c r="AV24" s="1186"/>
      <c r="AW24" s="108"/>
      <c r="AX24" s="1186"/>
      <c r="AY24" s="1184"/>
      <c r="AZ24" s="1186"/>
      <c r="BA24" s="116"/>
    </row>
    <row r="25" spans="1:53" ht="12.75">
      <c r="A25" s="439" t="s">
        <v>278</v>
      </c>
      <c r="B25" s="863">
        <f>B9</f>
        <v>2149461</v>
      </c>
      <c r="C25" s="1184">
        <f>C9</f>
        <v>1662941</v>
      </c>
      <c r="D25" s="1186">
        <v>702743</v>
      </c>
      <c r="E25" s="1195">
        <f>E22</f>
        <v>683493</v>
      </c>
      <c r="F25" s="128"/>
      <c r="G25" s="1184"/>
      <c r="H25" s="1186">
        <v>4660330</v>
      </c>
      <c r="I25" s="1184">
        <f>I22</f>
        <v>4174678</v>
      </c>
      <c r="J25" s="1186">
        <f>J13</f>
        <v>260098</v>
      </c>
      <c r="K25" s="1184">
        <f>K9</f>
        <v>180478</v>
      </c>
      <c r="L25" s="1186">
        <f>L9</f>
        <v>33354</v>
      </c>
      <c r="M25" s="1184">
        <v>10576</v>
      </c>
      <c r="N25" s="1186">
        <f>N9</f>
        <v>633786</v>
      </c>
      <c r="O25" s="1184">
        <f>O19</f>
        <v>387320</v>
      </c>
      <c r="P25" s="1186">
        <v>147985</v>
      </c>
      <c r="Q25" s="1184">
        <f>Q22</f>
        <v>98338</v>
      </c>
      <c r="R25" s="1186">
        <v>5332485</v>
      </c>
      <c r="S25" s="1184">
        <f>S22</f>
        <v>4570195</v>
      </c>
      <c r="T25" s="1186">
        <v>264135</v>
      </c>
      <c r="U25" s="1184">
        <f>U22</f>
        <v>159030</v>
      </c>
      <c r="V25" s="1186">
        <v>4240491</v>
      </c>
      <c r="W25" s="1184">
        <f aca="true" t="shared" si="0" ref="W25:AG25">W22</f>
        <v>2990512</v>
      </c>
      <c r="X25" s="1186">
        <v>6628206</v>
      </c>
      <c r="Y25" s="1184">
        <f t="shared" si="0"/>
        <v>4630874</v>
      </c>
      <c r="Z25" s="1186">
        <v>98054</v>
      </c>
      <c r="AA25" s="1184">
        <f t="shared" si="0"/>
        <v>74790</v>
      </c>
      <c r="AB25" s="1186">
        <v>143482.22</v>
      </c>
      <c r="AC25" s="108">
        <f t="shared" si="0"/>
        <v>86556.71</v>
      </c>
      <c r="AD25" s="448">
        <v>642898</v>
      </c>
      <c r="AE25" s="108">
        <f t="shared" si="0"/>
        <v>891538</v>
      </c>
      <c r="AF25" s="448">
        <f>AF19</f>
        <v>5322246</v>
      </c>
      <c r="AG25" s="108">
        <f t="shared" si="0"/>
        <v>4264484</v>
      </c>
      <c r="AH25" s="448"/>
      <c r="AI25" s="108">
        <f>AI9</f>
        <v>582598</v>
      </c>
      <c r="AJ25" s="448">
        <v>635462</v>
      </c>
      <c r="AK25" s="108">
        <f>AK22</f>
        <v>501103</v>
      </c>
      <c r="AL25" s="448"/>
      <c r="AM25" s="1187"/>
      <c r="AN25" s="477">
        <v>3580781</v>
      </c>
      <c r="AO25" s="108">
        <f>AO22</f>
        <v>3644815</v>
      </c>
      <c r="AP25" s="448">
        <f>AP19</f>
        <v>630349</v>
      </c>
      <c r="AQ25" s="108">
        <f>AQ9</f>
        <v>431534</v>
      </c>
      <c r="AR25" s="448">
        <v>129071</v>
      </c>
      <c r="AS25" s="1184">
        <f>AS22</f>
        <v>104707</v>
      </c>
      <c r="AT25" s="1186">
        <v>4686745</v>
      </c>
      <c r="AU25" s="108">
        <f>AU9</f>
        <v>4201429</v>
      </c>
      <c r="AV25" s="1186">
        <f>SUM(B25+D25+F25+H25+J25+L25+N25+P25+R25+T25+V25+X25+Z25+AB25+AD25+AF25+AH25+AJ25+AL25+AN25+AP25+AR25+AT25)</f>
        <v>40922162.22</v>
      </c>
      <c r="AW25" s="1532">
        <f>SUM(C25+E25+G25+I25+K25+M25+O25+Q25+S25+U25+W25+Y25+AA25+AC25+AE25+AG25+AI25+AK25+AM25+AO25+AQ25+AS25+AU25)</f>
        <v>34331989.71</v>
      </c>
      <c r="AX25" s="1186">
        <v>1081050429</v>
      </c>
      <c r="AY25" s="1184">
        <v>1075127447</v>
      </c>
      <c r="AZ25" s="1186">
        <f>AV25+AX25</f>
        <v>1121972591.22</v>
      </c>
      <c r="BA25" s="116">
        <f>AW25+AY25</f>
        <v>1109459436.71</v>
      </c>
    </row>
    <row r="26" spans="1:53" ht="12.75">
      <c r="A26" s="439" t="s">
        <v>279</v>
      </c>
      <c r="B26" s="863"/>
      <c r="C26" s="1184"/>
      <c r="D26" s="1186"/>
      <c r="E26" s="1184"/>
      <c r="F26" s="1186"/>
      <c r="G26" s="1184"/>
      <c r="H26" s="1186"/>
      <c r="I26" s="1184"/>
      <c r="J26" s="1186"/>
      <c r="K26" s="1184"/>
      <c r="L26" s="1186"/>
      <c r="M26" s="1184"/>
      <c r="N26" s="1186"/>
      <c r="O26" s="1184"/>
      <c r="P26" s="1186"/>
      <c r="Q26" s="1184"/>
      <c r="R26" s="1186"/>
      <c r="S26" s="1184"/>
      <c r="T26" s="1186"/>
      <c r="U26" s="1184"/>
      <c r="V26" s="1186"/>
      <c r="W26" s="1184"/>
      <c r="X26" s="1186"/>
      <c r="Y26" s="1184"/>
      <c r="Z26" s="1186"/>
      <c r="AA26" s="1184"/>
      <c r="AB26" s="1186"/>
      <c r="AC26" s="108"/>
      <c r="AD26" s="448"/>
      <c r="AE26" s="108"/>
      <c r="AF26" s="448"/>
      <c r="AG26" s="108"/>
      <c r="AH26" s="448"/>
      <c r="AI26" s="108"/>
      <c r="AJ26" s="448"/>
      <c r="AK26" s="108"/>
      <c r="AL26" s="448"/>
      <c r="AM26" s="1187"/>
      <c r="AN26" s="477"/>
      <c r="AO26" s="108"/>
      <c r="AP26" s="448"/>
      <c r="AQ26" s="108"/>
      <c r="AR26" s="448"/>
      <c r="AS26" s="1184"/>
      <c r="AT26" s="1186"/>
      <c r="AU26" s="108"/>
      <c r="AV26" s="1186"/>
      <c r="AW26" s="108"/>
      <c r="AX26" s="1186">
        <v>1590781</v>
      </c>
      <c r="AY26" s="1184">
        <v>1705811</v>
      </c>
      <c r="AZ26" s="1186"/>
      <c r="BA26" s="116"/>
    </row>
    <row r="27" spans="1:53" ht="13.5">
      <c r="A27" s="1191" t="s">
        <v>372</v>
      </c>
      <c r="B27" s="1193"/>
      <c r="C27" s="1184"/>
      <c r="D27" s="1186"/>
      <c r="E27" s="1184"/>
      <c r="F27" s="1186"/>
      <c r="G27" s="1184"/>
      <c r="H27" s="1186"/>
      <c r="I27" s="1184"/>
      <c r="J27" s="1186"/>
      <c r="K27" s="1184"/>
      <c r="L27" s="1186"/>
      <c r="M27" s="1184"/>
      <c r="N27" s="1186"/>
      <c r="O27" s="1184"/>
      <c r="P27" s="1186"/>
      <c r="Q27" s="1184"/>
      <c r="R27" s="1186"/>
      <c r="S27" s="1184"/>
      <c r="T27" s="1186"/>
      <c r="U27" s="1184"/>
      <c r="V27" s="1186"/>
      <c r="W27" s="1184"/>
      <c r="X27" s="1186"/>
      <c r="Y27" s="1184"/>
      <c r="Z27" s="1186"/>
      <c r="AA27" s="1184"/>
      <c r="AB27" s="1186"/>
      <c r="AC27" s="108"/>
      <c r="AD27" s="448"/>
      <c r="AE27" s="108"/>
      <c r="AF27" s="448"/>
      <c r="AG27" s="108"/>
      <c r="AH27" s="448"/>
      <c r="AI27" s="108"/>
      <c r="AJ27" s="448"/>
      <c r="AK27" s="108"/>
      <c r="AL27" s="448"/>
      <c r="AM27" s="1187"/>
      <c r="AN27" s="477"/>
      <c r="AO27" s="108"/>
      <c r="AP27" s="448"/>
      <c r="AQ27" s="108"/>
      <c r="AR27" s="448"/>
      <c r="AS27" s="1184"/>
      <c r="AT27" s="1186"/>
      <c r="AU27" s="108"/>
      <c r="AV27" s="1186"/>
      <c r="AW27" s="108"/>
      <c r="AX27" s="1186">
        <v>-1131053</v>
      </c>
      <c r="AY27" s="1184">
        <v>-4301462</v>
      </c>
      <c r="AZ27" s="1186"/>
      <c r="BA27" s="116"/>
    </row>
    <row r="28" spans="1:53" ht="12.75">
      <c r="A28" s="439" t="s">
        <v>280</v>
      </c>
      <c r="B28" s="863"/>
      <c r="C28" s="1184"/>
      <c r="D28" s="1186"/>
      <c r="E28" s="1184"/>
      <c r="F28" s="1186"/>
      <c r="G28" s="1184"/>
      <c r="H28" s="1186"/>
      <c r="I28" s="1184"/>
      <c r="J28" s="1186"/>
      <c r="K28" s="1184"/>
      <c r="L28" s="1186"/>
      <c r="M28" s="1184"/>
      <c r="N28" s="1186"/>
      <c r="O28" s="1184"/>
      <c r="P28" s="1186"/>
      <c r="Q28" s="1184"/>
      <c r="R28" s="1186"/>
      <c r="S28" s="1184"/>
      <c r="T28" s="1186"/>
      <c r="U28" s="1184"/>
      <c r="V28" s="1186"/>
      <c r="W28" s="1184"/>
      <c r="X28" s="1186"/>
      <c r="Y28" s="1184"/>
      <c r="Z28" s="1186"/>
      <c r="AA28" s="1184"/>
      <c r="AB28" s="1186"/>
      <c r="AC28" s="108"/>
      <c r="AD28" s="448"/>
      <c r="AE28" s="108"/>
      <c r="AF28" s="448"/>
      <c r="AG28" s="108"/>
      <c r="AH28" s="448"/>
      <c r="AI28" s="108"/>
      <c r="AJ28" s="448"/>
      <c r="AK28" s="108"/>
      <c r="AL28" s="448"/>
      <c r="AM28" s="1187"/>
      <c r="AN28" s="477"/>
      <c r="AO28" s="108"/>
      <c r="AP28" s="448"/>
      <c r="AQ28" s="108"/>
      <c r="AR28" s="448"/>
      <c r="AS28" s="1184"/>
      <c r="AT28" s="1186"/>
      <c r="AU28" s="108"/>
      <c r="AV28" s="1186"/>
      <c r="AW28" s="108"/>
      <c r="AX28" s="1186"/>
      <c r="AY28" s="1184"/>
      <c r="AZ28" s="1186"/>
      <c r="BA28" s="116"/>
    </row>
    <row r="29" spans="1:53" ht="12.75">
      <c r="A29" s="439" t="s">
        <v>278</v>
      </c>
      <c r="B29" s="863"/>
      <c r="C29" s="1184"/>
      <c r="D29" s="1186"/>
      <c r="E29" s="1184"/>
      <c r="F29" s="1186"/>
      <c r="G29" s="1184"/>
      <c r="H29" s="1186"/>
      <c r="I29" s="1184"/>
      <c r="J29" s="1186"/>
      <c r="K29" s="1184"/>
      <c r="L29" s="1186"/>
      <c r="M29" s="1184"/>
      <c r="N29" s="1186"/>
      <c r="O29" s="1184"/>
      <c r="P29" s="1186"/>
      <c r="Q29" s="1184"/>
      <c r="R29" s="1186"/>
      <c r="S29" s="1184"/>
      <c r="T29" s="1186"/>
      <c r="U29" s="1184"/>
      <c r="V29" s="1186"/>
      <c r="W29" s="1184"/>
      <c r="X29" s="1186"/>
      <c r="Y29" s="1184"/>
      <c r="Z29" s="1186"/>
      <c r="AA29" s="1184"/>
      <c r="AB29" s="1186"/>
      <c r="AC29" s="108"/>
      <c r="AD29" s="448"/>
      <c r="AE29" s="108"/>
      <c r="AF29" s="448"/>
      <c r="AG29" s="108"/>
      <c r="AH29" s="448"/>
      <c r="AI29" s="108"/>
      <c r="AJ29" s="448"/>
      <c r="AK29" s="108"/>
      <c r="AL29" s="448"/>
      <c r="AM29" s="1187"/>
      <c r="AN29" s="477"/>
      <c r="AO29" s="108"/>
      <c r="AP29" s="448"/>
      <c r="AQ29" s="108"/>
      <c r="AR29" s="448"/>
      <c r="AS29" s="1184"/>
      <c r="AT29" s="1186"/>
      <c r="AU29" s="108"/>
      <c r="AV29" s="1186"/>
      <c r="AW29" s="108"/>
      <c r="AX29" s="1186">
        <v>121299267</v>
      </c>
      <c r="AY29" s="1184">
        <v>126885709</v>
      </c>
      <c r="AZ29" s="1186"/>
      <c r="BA29" s="116"/>
    </row>
    <row r="30" spans="1:53" ht="12.75">
      <c r="A30" s="439" t="s">
        <v>281</v>
      </c>
      <c r="B30" s="863"/>
      <c r="C30" s="1184"/>
      <c r="D30" s="1186"/>
      <c r="E30" s="1184"/>
      <c r="F30" s="1186"/>
      <c r="G30" s="1184"/>
      <c r="H30" s="1186"/>
      <c r="I30" s="1184"/>
      <c r="J30" s="1186"/>
      <c r="K30" s="1184"/>
      <c r="L30" s="1186"/>
      <c r="M30" s="1184"/>
      <c r="N30" s="1186"/>
      <c r="O30" s="1184"/>
      <c r="P30" s="1186"/>
      <c r="Q30" s="1184"/>
      <c r="R30" s="1186"/>
      <c r="S30" s="1184"/>
      <c r="T30" s="1186"/>
      <c r="U30" s="1184"/>
      <c r="V30" s="1186"/>
      <c r="W30" s="1184"/>
      <c r="X30" s="1186"/>
      <c r="Y30" s="1184"/>
      <c r="Z30" s="1186"/>
      <c r="AA30" s="1184"/>
      <c r="AB30" s="1186"/>
      <c r="AC30" s="108"/>
      <c r="AD30" s="448"/>
      <c r="AE30" s="108"/>
      <c r="AF30" s="448"/>
      <c r="AG30" s="108"/>
      <c r="AH30" s="448"/>
      <c r="AI30" s="108"/>
      <c r="AJ30" s="448"/>
      <c r="AK30" s="108"/>
      <c r="AL30" s="448"/>
      <c r="AM30" s="1187"/>
      <c r="AN30" s="477"/>
      <c r="AO30" s="108"/>
      <c r="AP30" s="448"/>
      <c r="AQ30" s="108"/>
      <c r="AR30" s="448"/>
      <c r="AS30" s="1184"/>
      <c r="AT30" s="1186"/>
      <c r="AU30" s="108"/>
      <c r="AV30" s="1186"/>
      <c r="AW30" s="108"/>
      <c r="AX30" s="1186">
        <v>105915</v>
      </c>
      <c r="AY30" s="1184">
        <v>121445</v>
      </c>
      <c r="AZ30" s="1186"/>
      <c r="BA30" s="116"/>
    </row>
    <row r="31" spans="1:53" ht="13.5">
      <c r="A31" s="1191" t="s">
        <v>371</v>
      </c>
      <c r="B31" s="1193"/>
      <c r="C31" s="1184"/>
      <c r="D31" s="1186"/>
      <c r="E31" s="1184"/>
      <c r="F31" s="1186"/>
      <c r="G31" s="1184"/>
      <c r="H31" s="1186"/>
      <c r="I31" s="1184"/>
      <c r="J31" s="1186"/>
      <c r="K31" s="1184"/>
      <c r="L31" s="1186"/>
      <c r="M31" s="1184"/>
      <c r="N31" s="1186"/>
      <c r="O31" s="1184"/>
      <c r="P31" s="1186"/>
      <c r="Q31" s="1184"/>
      <c r="R31" s="1186"/>
      <c r="S31" s="1184"/>
      <c r="T31" s="1186"/>
      <c r="U31" s="1184"/>
      <c r="V31" s="1186"/>
      <c r="W31" s="1184"/>
      <c r="X31" s="1186"/>
      <c r="Y31" s="1184"/>
      <c r="Z31" s="1186"/>
      <c r="AA31" s="1184"/>
      <c r="AB31" s="1186"/>
      <c r="AC31" s="108"/>
      <c r="AD31" s="448"/>
      <c r="AE31" s="108"/>
      <c r="AF31" s="448"/>
      <c r="AG31" s="108"/>
      <c r="AH31" s="448"/>
      <c r="AI31" s="108"/>
      <c r="AJ31" s="448"/>
      <c r="AK31" s="108"/>
      <c r="AL31" s="448"/>
      <c r="AM31" s="1187"/>
      <c r="AN31" s="477"/>
      <c r="AO31" s="108"/>
      <c r="AP31" s="448"/>
      <c r="AQ31" s="108"/>
      <c r="AR31" s="448"/>
      <c r="AS31" s="1184"/>
      <c r="AT31" s="1186"/>
      <c r="AU31" s="108"/>
      <c r="AV31" s="1186"/>
      <c r="AW31" s="108"/>
      <c r="AX31" s="1186">
        <v>-125081963</v>
      </c>
      <c r="AY31" s="1184">
        <v>-121312227</v>
      </c>
      <c r="AZ31" s="1186"/>
      <c r="BA31" s="116"/>
    </row>
    <row r="32" spans="1:53" s="1274" customFormat="1" ht="14.25">
      <c r="A32" s="493" t="s">
        <v>54</v>
      </c>
      <c r="B32" s="1112">
        <f>B9</f>
        <v>2149461</v>
      </c>
      <c r="C32" s="1203">
        <f>C25</f>
        <v>1662941</v>
      </c>
      <c r="D32" s="1206">
        <f>D25</f>
        <v>702743</v>
      </c>
      <c r="E32" s="1270">
        <f>E25</f>
        <v>683493</v>
      </c>
      <c r="F32" s="1271"/>
      <c r="G32" s="1203"/>
      <c r="H32" s="1206">
        <v>4660330</v>
      </c>
      <c r="I32" s="1203">
        <f>I25</f>
        <v>4174678</v>
      </c>
      <c r="J32" s="1206">
        <f>J22</f>
        <v>260098</v>
      </c>
      <c r="K32" s="1203">
        <f>K9</f>
        <v>180478</v>
      </c>
      <c r="L32" s="1206">
        <f>L22</f>
        <v>33354</v>
      </c>
      <c r="M32" s="1203">
        <v>10576</v>
      </c>
      <c r="N32" s="1206">
        <f>N9</f>
        <v>633786</v>
      </c>
      <c r="O32" s="1203">
        <f>O25</f>
        <v>387320</v>
      </c>
      <c r="P32" s="1206">
        <v>147985</v>
      </c>
      <c r="Q32" s="1203">
        <f>Q25</f>
        <v>98338</v>
      </c>
      <c r="R32" s="1206">
        <v>5332485</v>
      </c>
      <c r="S32" s="1203">
        <f>S25</f>
        <v>4570195</v>
      </c>
      <c r="T32" s="1206">
        <v>264135</v>
      </c>
      <c r="U32" s="1203">
        <f>U22</f>
        <v>159030</v>
      </c>
      <c r="V32" s="1206">
        <v>4240491</v>
      </c>
      <c r="W32" s="1203">
        <f aca="true" t="shared" si="1" ref="W32:AG32">W25</f>
        <v>2990512</v>
      </c>
      <c r="X32" s="1206">
        <v>6628206</v>
      </c>
      <c r="Y32" s="1203">
        <f t="shared" si="1"/>
        <v>4630874</v>
      </c>
      <c r="Z32" s="1206">
        <v>98054</v>
      </c>
      <c r="AA32" s="1203">
        <f t="shared" si="1"/>
        <v>74790</v>
      </c>
      <c r="AB32" s="1206">
        <v>143482.22</v>
      </c>
      <c r="AC32" s="1202">
        <f t="shared" si="1"/>
        <v>86556.71</v>
      </c>
      <c r="AD32" s="1208">
        <v>642898</v>
      </c>
      <c r="AE32" s="1202">
        <f t="shared" si="1"/>
        <v>891538</v>
      </c>
      <c r="AF32" s="1208">
        <f>AF25</f>
        <v>5322246</v>
      </c>
      <c r="AG32" s="1202">
        <f t="shared" si="1"/>
        <v>4264484</v>
      </c>
      <c r="AH32" s="1208"/>
      <c r="AI32" s="1202">
        <f>AI9</f>
        <v>582598</v>
      </c>
      <c r="AJ32" s="1208">
        <v>635462</v>
      </c>
      <c r="AK32" s="1202">
        <f>AK25</f>
        <v>501103</v>
      </c>
      <c r="AL32" s="1208"/>
      <c r="AM32" s="1272"/>
      <c r="AN32" s="1273">
        <v>3580781</v>
      </c>
      <c r="AO32" s="1202">
        <f>AO25</f>
        <v>3644815</v>
      </c>
      <c r="AP32" s="1208">
        <f>AP25</f>
        <v>630349</v>
      </c>
      <c r="AQ32" s="1202">
        <f>AQ9</f>
        <v>431534</v>
      </c>
      <c r="AR32" s="1208">
        <v>129071</v>
      </c>
      <c r="AS32" s="1203">
        <f>AS25</f>
        <v>104707</v>
      </c>
      <c r="AT32" s="1206">
        <v>4686745</v>
      </c>
      <c r="AU32" s="1202">
        <f>AU9</f>
        <v>4201429</v>
      </c>
      <c r="AV32" s="1206">
        <f>SUM(B32+D32+F32+H32+J32+L32+N32+P32+R32+T32+V32+X32+Z32+AB32+AD32+AF32+AH32+AJ32+AL32+AN32+AP32+AR32+AT32)</f>
        <v>40922162.22</v>
      </c>
      <c r="AW32" s="1533">
        <f>SUM(C32+E32+G32+I32+K32+M32+O32+Q32+S32+U32+W32+Y32+AA32+AC32+AE32+AG32+AI32+AK32+AM32+AO32+AQ32+AS32+AU32)</f>
        <v>34331989.71</v>
      </c>
      <c r="AX32" s="1206">
        <v>1077833376</v>
      </c>
      <c r="AY32" s="1203">
        <v>1078226723</v>
      </c>
      <c r="AZ32" s="1206">
        <f>AV32+AX32</f>
        <v>1118755538.22</v>
      </c>
      <c r="BA32" s="136">
        <f>AW32+AY32</f>
        <v>1112558712.71</v>
      </c>
    </row>
    <row r="33" spans="1:53" ht="14.25">
      <c r="A33" s="493" t="s">
        <v>282</v>
      </c>
      <c r="B33" s="1112"/>
      <c r="C33" s="1184"/>
      <c r="D33" s="1186"/>
      <c r="E33" s="1184"/>
      <c r="F33" s="1186"/>
      <c r="G33" s="1184"/>
      <c r="H33" s="1186"/>
      <c r="I33" s="1184"/>
      <c r="J33" s="1186"/>
      <c r="K33" s="1184"/>
      <c r="L33" s="1186"/>
      <c r="M33" s="1184"/>
      <c r="N33" s="1186"/>
      <c r="O33" s="1184"/>
      <c r="P33" s="1186"/>
      <c r="Q33" s="1184"/>
      <c r="R33" s="1186"/>
      <c r="S33" s="1184"/>
      <c r="T33" s="1186"/>
      <c r="U33" s="1184"/>
      <c r="V33" s="1186"/>
      <c r="W33" s="1184"/>
      <c r="X33" s="1186"/>
      <c r="Y33" s="1184"/>
      <c r="Z33" s="1186"/>
      <c r="AA33" s="1184"/>
      <c r="AB33" s="1186"/>
      <c r="AC33" s="108"/>
      <c r="AD33" s="448"/>
      <c r="AE33" s="108"/>
      <c r="AF33" s="448"/>
      <c r="AG33" s="108"/>
      <c r="AH33" s="448"/>
      <c r="AI33" s="108"/>
      <c r="AJ33" s="448"/>
      <c r="AK33" s="108"/>
      <c r="AL33" s="448"/>
      <c r="AM33" s="1187"/>
      <c r="AN33" s="477"/>
      <c r="AO33" s="108"/>
      <c r="AP33" s="448"/>
      <c r="AQ33" s="108"/>
      <c r="AR33" s="448"/>
      <c r="AS33" s="1184"/>
      <c r="AT33" s="1186"/>
      <c r="AU33" s="108"/>
      <c r="AV33" s="1186"/>
      <c r="AW33" s="108"/>
      <c r="AX33" s="1186"/>
      <c r="AY33" s="1184"/>
      <c r="AZ33" s="1186"/>
      <c r="BA33" s="116"/>
    </row>
    <row r="34" spans="1:53" ht="12.75">
      <c r="A34" s="439" t="s">
        <v>283</v>
      </c>
      <c r="B34" s="863">
        <v>41673</v>
      </c>
      <c r="C34" s="1184">
        <v>50196</v>
      </c>
      <c r="D34" s="1186">
        <v>563</v>
      </c>
      <c r="E34" s="1184"/>
      <c r="F34" s="1186"/>
      <c r="G34" s="1184"/>
      <c r="H34" s="1186">
        <v>483533</v>
      </c>
      <c r="I34" s="1184">
        <v>335351</v>
      </c>
      <c r="J34" s="1186"/>
      <c r="K34" s="1184"/>
      <c r="L34" s="1186"/>
      <c r="M34" s="1184"/>
      <c r="N34" s="1186">
        <v>16388</v>
      </c>
      <c r="O34" s="1184">
        <v>3903</v>
      </c>
      <c r="P34" s="1186">
        <v>1468</v>
      </c>
      <c r="Q34" s="1184"/>
      <c r="R34" s="1186">
        <v>315375</v>
      </c>
      <c r="S34" s="1184">
        <v>307245</v>
      </c>
      <c r="T34" s="1186">
        <v>6870</v>
      </c>
      <c r="U34" s="1184">
        <v>2013</v>
      </c>
      <c r="V34" s="1186">
        <v>1499676</v>
      </c>
      <c r="W34" s="1184">
        <v>1162414</v>
      </c>
      <c r="X34" s="1186">
        <v>107515</v>
      </c>
      <c r="Y34" s="1184">
        <v>78530</v>
      </c>
      <c r="Z34" s="1186"/>
      <c r="AA34" s="1184"/>
      <c r="AB34" s="1186">
        <v>6066.53</v>
      </c>
      <c r="AC34" s="108"/>
      <c r="AD34" s="448">
        <v>44493</v>
      </c>
      <c r="AE34" s="108">
        <v>59830</v>
      </c>
      <c r="AF34" s="448">
        <v>142252</v>
      </c>
      <c r="AG34" s="108">
        <v>50753</v>
      </c>
      <c r="AH34" s="448"/>
      <c r="AI34" s="108">
        <v>51329</v>
      </c>
      <c r="AJ34" s="448">
        <v>52782</v>
      </c>
      <c r="AK34" s="108">
        <v>24261</v>
      </c>
      <c r="AL34" s="448"/>
      <c r="AM34" s="1187"/>
      <c r="AN34" s="477">
        <v>106911</v>
      </c>
      <c r="AO34" s="108">
        <v>206951</v>
      </c>
      <c r="AP34" s="448">
        <v>19862</v>
      </c>
      <c r="AQ34" s="108">
        <v>10264</v>
      </c>
      <c r="AR34" s="448">
        <v>25174</v>
      </c>
      <c r="AS34" s="1184">
        <v>4503</v>
      </c>
      <c r="AT34" s="1186"/>
      <c r="AU34" s="108"/>
      <c r="AV34" s="1186">
        <f>SUM(B34+D34+F34+H34+J34+L34+N34+P34+R34+T34+V34+X34+Z34+AB34+AD34+AF34+AH34+AJ34+AL34+AN34+AP34+AR34+AT34)</f>
        <v>2870601.53</v>
      </c>
      <c r="AW34" s="1532">
        <f>SUM(C34+E34+G34+I34+K34+M34+O34+Q34+S34+U34+W34+Y34+AA34+AC34+AE34+AG34+AI34+AK34+AM34+AO34+AQ34+AS34+AU34)</f>
        <v>2347543</v>
      </c>
      <c r="AX34" s="1186"/>
      <c r="AY34" s="1184"/>
      <c r="AZ34" s="1186">
        <f>AV34+AX34</f>
        <v>2870601.53</v>
      </c>
      <c r="BA34" s="116">
        <f>AW34+AY34</f>
        <v>2347543</v>
      </c>
    </row>
    <row r="35" spans="1:53" ht="12.75">
      <c r="A35" s="439" t="s">
        <v>374</v>
      </c>
      <c r="B35" s="863"/>
      <c r="C35" s="1184"/>
      <c r="D35" s="1186"/>
      <c r="E35" s="1184"/>
      <c r="F35" s="1186"/>
      <c r="G35" s="1184"/>
      <c r="H35" s="1186"/>
      <c r="I35" s="1184"/>
      <c r="J35" s="1186"/>
      <c r="K35" s="1184"/>
      <c r="L35" s="1186"/>
      <c r="M35" s="1184"/>
      <c r="N35" s="1186"/>
      <c r="O35" s="1184"/>
      <c r="P35" s="1186"/>
      <c r="Q35" s="1184"/>
      <c r="R35" s="1186"/>
      <c r="S35" s="1184"/>
      <c r="T35" s="1186"/>
      <c r="U35" s="1184"/>
      <c r="V35" s="1186"/>
      <c r="W35" s="1184"/>
      <c r="X35" s="1186"/>
      <c r="Y35" s="1184"/>
      <c r="Z35" s="1186"/>
      <c r="AA35" s="1184"/>
      <c r="AB35" s="1186"/>
      <c r="AC35" s="108"/>
      <c r="AD35" s="448"/>
      <c r="AE35" s="108"/>
      <c r="AF35" s="448"/>
      <c r="AG35" s="108"/>
      <c r="AH35" s="448"/>
      <c r="AI35" s="108"/>
      <c r="AJ35" s="448"/>
      <c r="AK35" s="108"/>
      <c r="AL35" s="448"/>
      <c r="AM35" s="1187"/>
      <c r="AN35" s="477"/>
      <c r="AO35" s="108"/>
      <c r="AP35" s="448"/>
      <c r="AQ35" s="108"/>
      <c r="AR35" s="448"/>
      <c r="AS35" s="1184"/>
      <c r="AT35" s="1186"/>
      <c r="AU35" s="108"/>
      <c r="AV35" s="1186"/>
      <c r="AW35" s="108"/>
      <c r="AX35" s="1186">
        <v>101775866</v>
      </c>
      <c r="AY35" s="1184">
        <v>90989509</v>
      </c>
      <c r="AZ35" s="1186"/>
      <c r="BA35" s="116"/>
    </row>
    <row r="36" spans="1:53" ht="12.75">
      <c r="A36" s="439" t="s">
        <v>373</v>
      </c>
      <c r="B36" s="863"/>
      <c r="C36" s="1184"/>
      <c r="D36" s="1186"/>
      <c r="E36" s="1184"/>
      <c r="F36" s="1186"/>
      <c r="G36" s="1184"/>
      <c r="H36" s="1186"/>
      <c r="I36" s="1184"/>
      <c r="J36" s="1186"/>
      <c r="K36" s="1184"/>
      <c r="L36" s="1186"/>
      <c r="M36" s="1184"/>
      <c r="N36" s="1186"/>
      <c r="O36" s="1184"/>
      <c r="P36" s="1186"/>
      <c r="Q36" s="1184"/>
      <c r="R36" s="1186"/>
      <c r="S36" s="1184"/>
      <c r="T36" s="1186"/>
      <c r="U36" s="1184"/>
      <c r="V36" s="1186"/>
      <c r="W36" s="1184"/>
      <c r="X36" s="1186"/>
      <c r="Y36" s="1184"/>
      <c r="Z36" s="1186"/>
      <c r="AA36" s="1184"/>
      <c r="AB36" s="1186"/>
      <c r="AC36" s="108"/>
      <c r="AD36" s="448"/>
      <c r="AE36" s="108"/>
      <c r="AF36" s="448"/>
      <c r="AG36" s="108"/>
      <c r="AH36" s="448"/>
      <c r="AI36" s="108"/>
      <c r="AJ36" s="448"/>
      <c r="AK36" s="108"/>
      <c r="AL36" s="448"/>
      <c r="AM36" s="1187"/>
      <c r="AN36" s="477"/>
      <c r="AO36" s="108"/>
      <c r="AP36" s="448"/>
      <c r="AQ36" s="108"/>
      <c r="AR36" s="448"/>
      <c r="AS36" s="1184"/>
      <c r="AT36" s="1186"/>
      <c r="AU36" s="108"/>
      <c r="AV36" s="1186"/>
      <c r="AW36" s="108"/>
      <c r="AX36" s="1186">
        <v>5478</v>
      </c>
      <c r="AY36" s="1184">
        <v>6166</v>
      </c>
      <c r="AZ36" s="1186"/>
      <c r="BA36" s="116"/>
    </row>
    <row r="37" spans="1:53" ht="12.75">
      <c r="A37" s="730" t="s">
        <v>375</v>
      </c>
      <c r="B37" s="863"/>
      <c r="C37" s="1184"/>
      <c r="D37" s="1186"/>
      <c r="E37" s="1184"/>
      <c r="F37" s="1186"/>
      <c r="G37" s="1184"/>
      <c r="H37" s="1186"/>
      <c r="I37" s="1184"/>
      <c r="J37" s="1186"/>
      <c r="K37" s="1184"/>
      <c r="L37" s="1186"/>
      <c r="M37" s="1184"/>
      <c r="N37" s="1186"/>
      <c r="O37" s="1184"/>
      <c r="P37" s="1186"/>
      <c r="Q37" s="1184"/>
      <c r="R37" s="1186"/>
      <c r="S37" s="1184"/>
      <c r="T37" s="1186"/>
      <c r="U37" s="1184"/>
      <c r="V37" s="1186"/>
      <c r="W37" s="1184"/>
      <c r="X37" s="1186"/>
      <c r="Y37" s="1184"/>
      <c r="Z37" s="1186"/>
      <c r="AA37" s="1184"/>
      <c r="AB37" s="1186"/>
      <c r="AC37" s="108"/>
      <c r="AD37" s="448"/>
      <c r="AE37" s="108"/>
      <c r="AF37" s="448"/>
      <c r="AG37" s="108"/>
      <c r="AH37" s="448"/>
      <c r="AI37" s="108"/>
      <c r="AJ37" s="448"/>
      <c r="AK37" s="108"/>
      <c r="AL37" s="448"/>
      <c r="AM37" s="1187"/>
      <c r="AN37" s="477"/>
      <c r="AO37" s="108"/>
      <c r="AP37" s="448"/>
      <c r="AQ37" s="108"/>
      <c r="AR37" s="448"/>
      <c r="AS37" s="1184"/>
      <c r="AT37" s="1186"/>
      <c r="AU37" s="108"/>
      <c r="AV37" s="1186"/>
      <c r="AW37" s="108"/>
      <c r="AX37" s="1186">
        <v>-44171159</v>
      </c>
      <c r="AY37" s="1184">
        <v>-30576162</v>
      </c>
      <c r="AZ37" s="1186"/>
      <c r="BA37" s="116"/>
    </row>
    <row r="38" spans="1:53" ht="12.75">
      <c r="A38" s="730" t="s">
        <v>284</v>
      </c>
      <c r="B38" s="863">
        <v>2107788</v>
      </c>
      <c r="C38" s="1184">
        <v>1612745</v>
      </c>
      <c r="D38" s="1186">
        <v>702180</v>
      </c>
      <c r="E38" s="1195">
        <f>E32</f>
        <v>683493</v>
      </c>
      <c r="F38" s="128"/>
      <c r="G38" s="1184"/>
      <c r="H38" s="1186">
        <v>4176797</v>
      </c>
      <c r="I38" s="1184">
        <v>3839327</v>
      </c>
      <c r="J38" s="1186">
        <f>J32</f>
        <v>260098</v>
      </c>
      <c r="K38" s="1184">
        <f>K9</f>
        <v>180478</v>
      </c>
      <c r="L38" s="1186">
        <f>L32</f>
        <v>33354</v>
      </c>
      <c r="M38" s="1184">
        <v>10576</v>
      </c>
      <c r="N38" s="1186">
        <v>617398</v>
      </c>
      <c r="O38" s="1184">
        <v>383417</v>
      </c>
      <c r="P38" s="1186">
        <v>146516</v>
      </c>
      <c r="Q38" s="1184">
        <f>Q32</f>
        <v>98338</v>
      </c>
      <c r="R38" s="1186">
        <v>5017109</v>
      </c>
      <c r="S38" s="1184">
        <v>4262949</v>
      </c>
      <c r="T38" s="1186">
        <v>257265</v>
      </c>
      <c r="U38" s="1184">
        <v>157017</v>
      </c>
      <c r="V38" s="1186">
        <v>2740815</v>
      </c>
      <c r="W38" s="1184">
        <v>1828098</v>
      </c>
      <c r="X38" s="1186">
        <v>6520691</v>
      </c>
      <c r="Y38" s="1184">
        <v>4552344</v>
      </c>
      <c r="Z38" s="1186">
        <v>98054</v>
      </c>
      <c r="AA38" s="1184">
        <v>74790</v>
      </c>
      <c r="AB38" s="1186">
        <v>137415.69</v>
      </c>
      <c r="AC38" s="108">
        <v>86556.71</v>
      </c>
      <c r="AD38" s="448">
        <v>598405</v>
      </c>
      <c r="AE38" s="108">
        <v>831708</v>
      </c>
      <c r="AF38" s="448">
        <v>5179994</v>
      </c>
      <c r="AG38" s="108">
        <v>4213731</v>
      </c>
      <c r="AH38" s="448"/>
      <c r="AI38" s="108">
        <v>531269</v>
      </c>
      <c r="AJ38" s="448">
        <v>582680</v>
      </c>
      <c r="AK38" s="108">
        <v>476842</v>
      </c>
      <c r="AL38" s="448"/>
      <c r="AM38" s="1187"/>
      <c r="AN38" s="477">
        <v>3473870</v>
      </c>
      <c r="AO38" s="108">
        <v>3437864</v>
      </c>
      <c r="AP38" s="448">
        <v>610488</v>
      </c>
      <c r="AQ38" s="108">
        <v>421270</v>
      </c>
      <c r="AR38" s="448">
        <v>103897</v>
      </c>
      <c r="AS38" s="1184">
        <v>100204</v>
      </c>
      <c r="AT38" s="1186">
        <v>4686745</v>
      </c>
      <c r="AU38" s="108">
        <f>AU9</f>
        <v>4201429</v>
      </c>
      <c r="AV38" s="1186">
        <f>SUM(B38+D38+F38+H38+J38+L38+N38+P38+R38+T38+V38+X38+Z38+AB38+AD38+AF38+AH38+AJ38+AL38+AN38+AP38+AR38+AT38)</f>
        <v>38051559.69</v>
      </c>
      <c r="AW38" s="1532">
        <f>SUM(C38+E38+G38+I38+K38+M38+O38+Q38+S38+U38+W38+Y38+AA38+AC38+AE38+AG38+AI38+AK38+AM38+AO38+AQ38+AS38+AU38)</f>
        <v>31984445.71</v>
      </c>
      <c r="AX38" s="1186"/>
      <c r="AY38" s="1184"/>
      <c r="AZ38" s="1186">
        <f>AV38+AX38</f>
        <v>38051559.69</v>
      </c>
      <c r="BA38" s="116">
        <f>AW38+AY38</f>
        <v>31984445.71</v>
      </c>
    </row>
    <row r="39" spans="1:53" ht="12.75">
      <c r="A39" s="439" t="s">
        <v>374</v>
      </c>
      <c r="B39" s="863"/>
      <c r="C39" s="1184"/>
      <c r="D39" s="1186"/>
      <c r="E39" s="1195"/>
      <c r="F39" s="128"/>
      <c r="G39" s="1184"/>
      <c r="H39" s="1186"/>
      <c r="I39" s="1184"/>
      <c r="J39" s="1186"/>
      <c r="K39" s="1184"/>
      <c r="L39" s="1186"/>
      <c r="M39" s="1184"/>
      <c r="N39" s="1186"/>
      <c r="O39" s="1184"/>
      <c r="P39" s="1186"/>
      <c r="Q39" s="1184"/>
      <c r="R39" s="1186"/>
      <c r="S39" s="1184"/>
      <c r="T39" s="1186"/>
      <c r="U39" s="1184"/>
      <c r="V39" s="1186"/>
      <c r="W39" s="1184"/>
      <c r="X39" s="1186"/>
      <c r="Y39" s="1184"/>
      <c r="Z39" s="1186"/>
      <c r="AA39" s="1184"/>
      <c r="AB39" s="1186"/>
      <c r="AC39" s="108"/>
      <c r="AD39" s="448"/>
      <c r="AE39" s="108"/>
      <c r="AF39" s="448"/>
      <c r="AG39" s="108"/>
      <c r="AH39" s="448"/>
      <c r="AI39" s="108"/>
      <c r="AJ39" s="448"/>
      <c r="AK39" s="108"/>
      <c r="AL39" s="448"/>
      <c r="AM39" s="1187"/>
      <c r="AN39" s="477"/>
      <c r="AO39" s="108"/>
      <c r="AP39" s="448"/>
      <c r="AQ39" s="108"/>
      <c r="AR39" s="448"/>
      <c r="AS39" s="1184"/>
      <c r="AT39" s="1186"/>
      <c r="AU39" s="108"/>
      <c r="AV39" s="1186"/>
      <c r="AW39" s="108"/>
      <c r="AX39" s="1186">
        <v>1100411260</v>
      </c>
      <c r="AY39" s="1184">
        <v>1111023648</v>
      </c>
      <c r="AZ39" s="1186"/>
      <c r="BA39" s="116"/>
    </row>
    <row r="40" spans="1:53" ht="12.75">
      <c r="A40" s="439" t="s">
        <v>373</v>
      </c>
      <c r="B40" s="863"/>
      <c r="C40" s="1184"/>
      <c r="D40" s="1186"/>
      <c r="E40" s="1195"/>
      <c r="F40" s="128"/>
      <c r="G40" s="1184"/>
      <c r="H40" s="1186"/>
      <c r="I40" s="1184"/>
      <c r="J40" s="1186"/>
      <c r="K40" s="1184"/>
      <c r="L40" s="1186"/>
      <c r="M40" s="1184"/>
      <c r="N40" s="1186"/>
      <c r="O40" s="1184"/>
      <c r="P40" s="1186"/>
      <c r="Q40" s="1184"/>
      <c r="R40" s="1186"/>
      <c r="S40" s="1184"/>
      <c r="T40" s="1186"/>
      <c r="U40" s="1184"/>
      <c r="V40" s="1186"/>
      <c r="W40" s="1184"/>
      <c r="X40" s="1186"/>
      <c r="Y40" s="1184"/>
      <c r="Z40" s="1186"/>
      <c r="AA40" s="1184"/>
      <c r="AB40" s="1186"/>
      <c r="AC40" s="108"/>
      <c r="AD40" s="448"/>
      <c r="AE40" s="108"/>
      <c r="AF40" s="448"/>
      <c r="AG40" s="108"/>
      <c r="AH40" s="448"/>
      <c r="AI40" s="108"/>
      <c r="AJ40" s="448"/>
      <c r="AK40" s="108"/>
      <c r="AL40" s="448"/>
      <c r="AM40" s="1187"/>
      <c r="AN40" s="477"/>
      <c r="AO40" s="108"/>
      <c r="AP40" s="448"/>
      <c r="AQ40" s="108"/>
      <c r="AR40" s="448"/>
      <c r="AS40" s="1184"/>
      <c r="AT40" s="1186"/>
      <c r="AU40" s="108"/>
      <c r="AV40" s="1186"/>
      <c r="AW40" s="108"/>
      <c r="AX40" s="1186">
        <v>1691218</v>
      </c>
      <c r="AY40" s="1184">
        <v>1821089</v>
      </c>
      <c r="AZ40" s="1186"/>
      <c r="BA40" s="116"/>
    </row>
    <row r="41" spans="1:53" ht="13.5" thickBot="1">
      <c r="A41" s="730" t="s">
        <v>376</v>
      </c>
      <c r="B41" s="1196"/>
      <c r="C41" s="1185"/>
      <c r="D41" s="1197"/>
      <c r="E41" s="1198"/>
      <c r="F41" s="1199"/>
      <c r="G41" s="1185"/>
      <c r="H41" s="1197"/>
      <c r="I41" s="1185"/>
      <c r="J41" s="1197"/>
      <c r="K41" s="1185"/>
      <c r="L41" s="1197"/>
      <c r="M41" s="1185"/>
      <c r="N41" s="1197"/>
      <c r="O41" s="1185"/>
      <c r="P41" s="1197"/>
      <c r="Q41" s="1185"/>
      <c r="R41" s="1197"/>
      <c r="S41" s="1185"/>
      <c r="T41" s="1197"/>
      <c r="U41" s="1185"/>
      <c r="V41" s="1197"/>
      <c r="W41" s="1185"/>
      <c r="X41" s="1197"/>
      <c r="Y41" s="1185"/>
      <c r="Z41" s="1197"/>
      <c r="AA41" s="1185"/>
      <c r="AB41" s="1197"/>
      <c r="AC41" s="623"/>
      <c r="AD41" s="624"/>
      <c r="AE41" s="623"/>
      <c r="AF41" s="624"/>
      <c r="AG41" s="623"/>
      <c r="AH41" s="624"/>
      <c r="AI41" s="623"/>
      <c r="AJ41" s="624"/>
      <c r="AK41" s="623"/>
      <c r="AL41" s="624"/>
      <c r="AM41" s="1200"/>
      <c r="AN41" s="524"/>
      <c r="AO41" s="623"/>
      <c r="AP41" s="624"/>
      <c r="AQ41" s="623"/>
      <c r="AR41" s="624"/>
      <c r="AS41" s="1185"/>
      <c r="AT41" s="1197"/>
      <c r="AU41" s="623"/>
      <c r="AV41" s="1197"/>
      <c r="AW41" s="623"/>
      <c r="AX41" s="1197">
        <v>-81879287</v>
      </c>
      <c r="AY41" s="1185">
        <v>-95037527</v>
      </c>
      <c r="AZ41" s="1197"/>
      <c r="BA41" s="149"/>
    </row>
    <row r="42" spans="1:53" s="1290" customFormat="1" ht="15" thickBot="1">
      <c r="A42" s="1467" t="s">
        <v>54</v>
      </c>
      <c r="B42" s="1524">
        <v>2149461</v>
      </c>
      <c r="C42" s="1525">
        <f aca="true" t="shared" si="2" ref="C42:AU42">C34+C38</f>
        <v>1662941</v>
      </c>
      <c r="D42" s="1524">
        <v>702743</v>
      </c>
      <c r="E42" s="1525">
        <f t="shared" si="2"/>
        <v>683493</v>
      </c>
      <c r="F42" s="1524"/>
      <c r="G42" s="1525">
        <f t="shared" si="2"/>
        <v>0</v>
      </c>
      <c r="H42" s="1524">
        <f>H32</f>
        <v>4660330</v>
      </c>
      <c r="I42" s="1525">
        <f t="shared" si="2"/>
        <v>4174678</v>
      </c>
      <c r="J42" s="1524">
        <f>J32</f>
        <v>260098</v>
      </c>
      <c r="K42" s="1525">
        <f t="shared" si="2"/>
        <v>180478</v>
      </c>
      <c r="L42" s="1524">
        <f>L32</f>
        <v>33354</v>
      </c>
      <c r="M42" s="1525">
        <f t="shared" si="2"/>
        <v>10576</v>
      </c>
      <c r="N42" s="1524">
        <f>N19</f>
        <v>633786</v>
      </c>
      <c r="O42" s="1525">
        <f t="shared" si="2"/>
        <v>387320</v>
      </c>
      <c r="P42" s="1524">
        <v>147985</v>
      </c>
      <c r="Q42" s="1525">
        <f t="shared" si="2"/>
        <v>98338</v>
      </c>
      <c r="R42" s="1524">
        <v>5332485</v>
      </c>
      <c r="S42" s="1525">
        <f t="shared" si="2"/>
        <v>4570194</v>
      </c>
      <c r="T42" s="1524">
        <v>264135</v>
      </c>
      <c r="U42" s="1525">
        <f t="shared" si="2"/>
        <v>159030</v>
      </c>
      <c r="V42" s="1524">
        <v>4240491</v>
      </c>
      <c r="W42" s="1525">
        <f t="shared" si="2"/>
        <v>2990512</v>
      </c>
      <c r="X42" s="1524">
        <v>6628206</v>
      </c>
      <c r="Y42" s="1525">
        <f t="shared" si="2"/>
        <v>4630874</v>
      </c>
      <c r="Z42" s="1524">
        <v>98054</v>
      </c>
      <c r="AA42" s="1525">
        <f t="shared" si="2"/>
        <v>74790</v>
      </c>
      <c r="AB42" s="1524">
        <v>143482.22</v>
      </c>
      <c r="AC42" s="1526">
        <f t="shared" si="2"/>
        <v>86556.71</v>
      </c>
      <c r="AD42" s="1527">
        <f>AD32</f>
        <v>642898</v>
      </c>
      <c r="AE42" s="1526">
        <f t="shared" si="2"/>
        <v>891538</v>
      </c>
      <c r="AF42" s="1527">
        <f>AF32</f>
        <v>5322246</v>
      </c>
      <c r="AG42" s="1526">
        <f t="shared" si="2"/>
        <v>4264484</v>
      </c>
      <c r="AH42" s="1527"/>
      <c r="AI42" s="1526">
        <f t="shared" si="2"/>
        <v>582598</v>
      </c>
      <c r="AJ42" s="1527">
        <v>635462</v>
      </c>
      <c r="AK42" s="1526">
        <f t="shared" si="2"/>
        <v>501103</v>
      </c>
      <c r="AL42" s="1527"/>
      <c r="AM42" s="1528">
        <f t="shared" si="2"/>
        <v>0</v>
      </c>
      <c r="AN42" s="1529">
        <v>3580781</v>
      </c>
      <c r="AO42" s="1526">
        <f t="shared" si="2"/>
        <v>3644815</v>
      </c>
      <c r="AP42" s="1527">
        <f>AP32</f>
        <v>630349</v>
      </c>
      <c r="AQ42" s="1526">
        <f t="shared" si="2"/>
        <v>431534</v>
      </c>
      <c r="AR42" s="1527">
        <v>129071</v>
      </c>
      <c r="AS42" s="1525">
        <f t="shared" si="2"/>
        <v>104707</v>
      </c>
      <c r="AT42" s="1524">
        <v>4686745</v>
      </c>
      <c r="AU42" s="1526">
        <f t="shared" si="2"/>
        <v>4201429</v>
      </c>
      <c r="AV42" s="1534">
        <f>SUM(B42+D42+F42+H42+J42+L42+N42+P42+R42+T42+V42+X42+Z42+AB42+AD42+AF42+AH42+AJ42+AL42+AN42+AP42+AR42+AT42)</f>
        <v>40922162.22</v>
      </c>
      <c r="AW42" s="1535">
        <f>SUM(C42+E42+G42+I42+K42+M42+O42+Q42+S42+U42+W42+Y42+AA42+AC42+AE42+AG42+AI42+AK42+AM42+AO42+AQ42+AS42+AU42)</f>
        <v>34331988.71</v>
      </c>
      <c r="AX42" s="1524">
        <v>1077833376</v>
      </c>
      <c r="AY42" s="1525">
        <v>1078226723</v>
      </c>
      <c r="AZ42" s="1524">
        <f>AV42+AX42</f>
        <v>1118755538.22</v>
      </c>
      <c r="BA42" s="1475">
        <f>AW42+AY42</f>
        <v>1112558711.71</v>
      </c>
    </row>
  </sheetData>
  <sheetProtection/>
  <mergeCells count="26">
    <mergeCell ref="AZ1:BA1"/>
    <mergeCell ref="AX1:AY1"/>
    <mergeCell ref="AV1:AW1"/>
    <mergeCell ref="AT1:AU1"/>
    <mergeCell ref="AR1:AS1"/>
    <mergeCell ref="AP1:AQ1"/>
    <mergeCell ref="AN1:AO1"/>
    <mergeCell ref="AL1:AM1"/>
    <mergeCell ref="AJ1:AK1"/>
    <mergeCell ref="AH1:AI1"/>
    <mergeCell ref="AF1:AG1"/>
    <mergeCell ref="AD1:AE1"/>
    <mergeCell ref="AB1:AC1"/>
    <mergeCell ref="Z1:AA1"/>
    <mergeCell ref="X1:Y1"/>
    <mergeCell ref="V1:W1"/>
    <mergeCell ref="T1:U1"/>
    <mergeCell ref="R1:S1"/>
    <mergeCell ref="H1:I1"/>
    <mergeCell ref="F1:G1"/>
    <mergeCell ref="D1:E1"/>
    <mergeCell ref="B1:C1"/>
    <mergeCell ref="J1:K1"/>
    <mergeCell ref="P1:Q1"/>
    <mergeCell ref="L1:M1"/>
    <mergeCell ref="N1:O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CA2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V29" sqref="BV29"/>
    </sheetView>
  </sheetViews>
  <sheetFormatPr defaultColWidth="9.140625" defaultRowHeight="15"/>
  <cols>
    <col min="1" max="1" width="49.140625" style="216" bestFit="1" customWidth="1"/>
    <col min="2" max="2" width="11.28125" style="138" bestFit="1" customWidth="1"/>
    <col min="3" max="3" width="11.140625" style="138" bestFit="1" customWidth="1"/>
    <col min="4" max="4" width="9.00390625" style="138" bestFit="1" customWidth="1"/>
    <col min="5" max="5" width="11.28125" style="138" customWidth="1"/>
    <col min="6" max="6" width="11.140625" style="138" bestFit="1" customWidth="1"/>
    <col min="7" max="7" width="9.00390625" style="138" bestFit="1" customWidth="1"/>
    <col min="8" max="8" width="10.00390625" style="138" bestFit="1" customWidth="1"/>
    <col min="9" max="9" width="11.140625" style="138" bestFit="1" customWidth="1"/>
    <col min="10" max="10" width="8.57421875" style="138" bestFit="1" customWidth="1"/>
    <col min="11" max="11" width="10.28125" style="138" customWidth="1"/>
    <col min="12" max="12" width="11.140625" style="138" bestFit="1" customWidth="1"/>
    <col min="13" max="13" width="10.28125" style="279" bestFit="1" customWidth="1"/>
    <col min="14" max="14" width="10.00390625" style="138" bestFit="1" customWidth="1"/>
    <col min="15" max="15" width="11.140625" style="138" bestFit="1" customWidth="1"/>
    <col min="16" max="16" width="9.00390625" style="138" bestFit="1" customWidth="1"/>
    <col min="17" max="17" width="11.28125" style="138" bestFit="1" customWidth="1"/>
    <col min="18" max="18" width="11.140625" style="138" bestFit="1" customWidth="1"/>
    <col min="19" max="19" width="9.00390625" style="138" bestFit="1" customWidth="1"/>
    <col min="20" max="20" width="10.00390625" style="138" bestFit="1" customWidth="1"/>
    <col min="21" max="21" width="11.140625" style="138" bestFit="1" customWidth="1"/>
    <col min="22" max="22" width="8.7109375" style="138" bestFit="1" customWidth="1"/>
    <col min="23" max="23" width="10.00390625" style="138" bestFit="1" customWidth="1"/>
    <col min="24" max="24" width="12.140625" style="138" bestFit="1" customWidth="1"/>
    <col min="25" max="26" width="10.00390625" style="138" bestFit="1" customWidth="1"/>
    <col min="27" max="27" width="11.140625" style="138" bestFit="1" customWidth="1"/>
    <col min="28" max="28" width="8.7109375" style="138" bestFit="1" customWidth="1"/>
    <col min="29" max="29" width="10.00390625" style="138" bestFit="1" customWidth="1"/>
    <col min="30" max="30" width="11.140625" style="138" bestFit="1" customWidth="1"/>
    <col min="31" max="31" width="8.7109375" style="138" bestFit="1" customWidth="1"/>
    <col min="32" max="32" width="11.28125" style="138" bestFit="1" customWidth="1"/>
    <col min="33" max="33" width="11.140625" style="138" bestFit="1" customWidth="1"/>
    <col min="34" max="34" width="10.00390625" style="138" bestFit="1" customWidth="1"/>
    <col min="35" max="35" width="11.28125" style="138" bestFit="1" customWidth="1"/>
    <col min="36" max="36" width="11.140625" style="138" bestFit="1" customWidth="1"/>
    <col min="37" max="37" width="10.28125" style="138" bestFit="1" customWidth="1"/>
    <col min="38" max="38" width="10.00390625" style="138" bestFit="1" customWidth="1"/>
    <col min="39" max="39" width="11.140625" style="138" bestFit="1" customWidth="1"/>
    <col min="40" max="40" width="9.7109375" style="138" bestFit="1" customWidth="1"/>
    <col min="41" max="41" width="10.00390625" style="138" bestFit="1" customWidth="1"/>
    <col min="42" max="42" width="11.140625" style="138" bestFit="1" customWidth="1"/>
    <col min="43" max="43" width="9.00390625" style="138" bestFit="1" customWidth="1"/>
    <col min="44" max="44" width="10.28125" style="138" bestFit="1" customWidth="1"/>
    <col min="45" max="45" width="11.140625" style="138" bestFit="1" customWidth="1"/>
    <col min="46" max="46" width="9.00390625" style="138" bestFit="1" customWidth="1"/>
    <col min="47" max="47" width="10.00390625" style="138" bestFit="1" customWidth="1"/>
    <col min="48" max="48" width="11.140625" style="138" bestFit="1" customWidth="1"/>
    <col min="49" max="49" width="10.00390625" style="138" bestFit="1" customWidth="1"/>
    <col min="50" max="50" width="9.7109375" style="138" bestFit="1" customWidth="1"/>
    <col min="51" max="51" width="11.140625" style="138" bestFit="1" customWidth="1"/>
    <col min="52" max="52" width="8.57421875" style="138" bestFit="1" customWidth="1"/>
    <col min="53" max="53" width="10.00390625" style="138" bestFit="1" customWidth="1"/>
    <col min="54" max="54" width="11.140625" style="138" bestFit="1" customWidth="1"/>
    <col min="55" max="55" width="8.7109375" style="138" bestFit="1" customWidth="1"/>
    <col min="56" max="56" width="9.7109375" style="138" bestFit="1" customWidth="1"/>
    <col min="57" max="57" width="11.140625" style="138" bestFit="1" customWidth="1"/>
    <col min="58" max="58" width="8.57421875" style="138" bestFit="1" customWidth="1"/>
    <col min="59" max="59" width="10.421875" style="138" bestFit="1" customWidth="1"/>
    <col min="60" max="60" width="11.140625" style="138" bestFit="1" customWidth="1"/>
    <col min="61" max="61" width="9.421875" style="138" bestFit="1" customWidth="1"/>
    <col min="62" max="62" width="9.7109375" style="138" bestFit="1" customWidth="1"/>
    <col min="63" max="63" width="11.140625" style="138" bestFit="1" customWidth="1"/>
    <col min="64" max="64" width="8.7109375" style="138" bestFit="1" customWidth="1"/>
    <col min="65" max="65" width="10.00390625" style="138" customWidth="1"/>
    <col min="66" max="66" width="11.140625" style="138" bestFit="1" customWidth="1"/>
    <col min="67" max="67" width="9.00390625" style="138" bestFit="1" customWidth="1"/>
    <col min="68" max="68" width="10.28125" style="138" bestFit="1" customWidth="1"/>
    <col min="69" max="69" width="11.140625" style="138" bestFit="1" customWidth="1"/>
    <col min="70" max="70" width="9.7109375" style="138" bestFit="1" customWidth="1"/>
    <col min="71" max="71" width="11.28125" style="138" bestFit="1" customWidth="1"/>
    <col min="72" max="72" width="11.140625" style="138" bestFit="1" customWidth="1"/>
    <col min="73" max="73" width="10.140625" style="138" bestFit="1" customWidth="1"/>
    <col min="74" max="75" width="11.28125" style="138" bestFit="1" customWidth="1"/>
    <col min="76" max="76" width="11.57421875" style="138" bestFit="1" customWidth="1"/>
    <col min="77" max="77" width="11.28125" style="138" bestFit="1" customWidth="1"/>
    <col min="78" max="78" width="12.7109375" style="138" bestFit="1" customWidth="1"/>
    <col min="79" max="79" width="10.140625" style="138" bestFit="1" customWidth="1"/>
    <col min="80" max="16384" width="9.140625" style="216" customWidth="1"/>
  </cols>
  <sheetData>
    <row r="1" spans="1:78" ht="17.25">
      <c r="A1" s="1688" t="s">
        <v>524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8"/>
      <c r="P1" s="1688"/>
      <c r="Q1" s="1688"/>
      <c r="R1" s="1688"/>
      <c r="S1" s="1688"/>
      <c r="T1" s="1688"/>
      <c r="U1" s="1688"/>
      <c r="V1" s="1688"/>
      <c r="W1" s="1688"/>
      <c r="X1" s="1688"/>
      <c r="Y1" s="1688"/>
      <c r="Z1" s="1688"/>
      <c r="AA1" s="1688"/>
      <c r="AB1" s="1688"/>
      <c r="AC1" s="1688"/>
      <c r="AD1" s="1688"/>
      <c r="AE1" s="1688"/>
      <c r="AF1" s="1688"/>
      <c r="AG1" s="1688"/>
      <c r="AH1" s="1688"/>
      <c r="AI1" s="1688"/>
      <c r="AJ1" s="1688"/>
      <c r="AK1" s="1688"/>
      <c r="AL1" s="1688"/>
      <c r="AM1" s="1688"/>
      <c r="AN1" s="1688"/>
      <c r="AO1" s="1688"/>
      <c r="AP1" s="1688"/>
      <c r="AQ1" s="1688"/>
      <c r="AR1" s="1688"/>
      <c r="AS1" s="1688"/>
      <c r="AT1" s="1688"/>
      <c r="AU1" s="1688"/>
      <c r="AV1" s="1688"/>
      <c r="AW1" s="1688"/>
      <c r="AX1" s="1688"/>
      <c r="AY1" s="1688"/>
      <c r="AZ1" s="1688"/>
      <c r="BA1" s="1688"/>
      <c r="BB1" s="1688"/>
      <c r="BC1" s="1688"/>
      <c r="BD1" s="1688"/>
      <c r="BE1" s="1688"/>
      <c r="BF1" s="1688"/>
      <c r="BG1" s="1688"/>
      <c r="BH1" s="1688"/>
      <c r="BI1" s="1688"/>
      <c r="BJ1" s="1688"/>
      <c r="BK1" s="1688"/>
      <c r="BL1" s="1688"/>
      <c r="BM1" s="1688"/>
      <c r="BN1" s="1688"/>
      <c r="BO1" s="1688"/>
      <c r="BP1" s="1688"/>
      <c r="BQ1" s="1688"/>
      <c r="BR1" s="1688"/>
      <c r="BS1" s="1688"/>
      <c r="BT1" s="1688"/>
      <c r="BU1" s="1688"/>
      <c r="BV1" s="1688"/>
      <c r="BW1" s="1688"/>
      <c r="BX1" s="1688"/>
      <c r="BY1" s="1688"/>
      <c r="BZ1" s="1688"/>
    </row>
    <row r="2" spans="1:78" ht="18" thickBot="1">
      <c r="A2" s="1689" t="s">
        <v>214</v>
      </c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1689"/>
      <c r="O2" s="1689"/>
      <c r="P2" s="1689"/>
      <c r="Q2" s="1689"/>
      <c r="R2" s="1689"/>
      <c r="S2" s="1689"/>
      <c r="T2" s="1689"/>
      <c r="U2" s="1689"/>
      <c r="V2" s="1689"/>
      <c r="W2" s="1689"/>
      <c r="X2" s="1689"/>
      <c r="Y2" s="1689"/>
      <c r="Z2" s="1689"/>
      <c r="AA2" s="1689"/>
      <c r="AB2" s="1689"/>
      <c r="AC2" s="1689"/>
      <c r="AD2" s="1689"/>
      <c r="AE2" s="1689"/>
      <c r="AF2" s="1689"/>
      <c r="AG2" s="1689"/>
      <c r="AH2" s="1689"/>
      <c r="AI2" s="1689"/>
      <c r="AJ2" s="1689"/>
      <c r="AK2" s="1689"/>
      <c r="AL2" s="1689"/>
      <c r="AM2" s="1689"/>
      <c r="AN2" s="1689"/>
      <c r="AO2" s="1689"/>
      <c r="AP2" s="1689"/>
      <c r="AQ2" s="1689"/>
      <c r="AR2" s="1689"/>
      <c r="AS2" s="1689"/>
      <c r="AT2" s="1689"/>
      <c r="AU2" s="1689"/>
      <c r="AV2" s="1689"/>
      <c r="AW2" s="1689"/>
      <c r="AX2" s="1689"/>
      <c r="AY2" s="1689"/>
      <c r="AZ2" s="1689"/>
      <c r="BA2" s="1689"/>
      <c r="BB2" s="1689"/>
      <c r="BC2" s="1689"/>
      <c r="BD2" s="1689"/>
      <c r="BE2" s="1689"/>
      <c r="BF2" s="1689"/>
      <c r="BG2" s="1689"/>
      <c r="BH2" s="1689"/>
      <c r="BI2" s="1689"/>
      <c r="BJ2" s="1689"/>
      <c r="BK2" s="1689"/>
      <c r="BL2" s="1689"/>
      <c r="BM2" s="1689"/>
      <c r="BN2" s="1689"/>
      <c r="BO2" s="1689"/>
      <c r="BP2" s="1689"/>
      <c r="BQ2" s="1689"/>
      <c r="BR2" s="1689"/>
      <c r="BS2" s="1689"/>
      <c r="BT2" s="1689"/>
      <c r="BU2" s="1689"/>
      <c r="BV2" s="1689"/>
      <c r="BW2" s="1689"/>
      <c r="BX2" s="1689"/>
      <c r="BY2" s="1689"/>
      <c r="BZ2" s="1689"/>
    </row>
    <row r="3" spans="1:79" s="824" customFormat="1" ht="31.5" customHeight="1">
      <c r="A3" s="1065"/>
      <c r="B3" s="1690" t="s">
        <v>163</v>
      </c>
      <c r="C3" s="1686"/>
      <c r="D3" s="1687"/>
      <c r="E3" s="1685" t="s">
        <v>164</v>
      </c>
      <c r="F3" s="1686"/>
      <c r="G3" s="1687"/>
      <c r="H3" s="1685" t="s">
        <v>165</v>
      </c>
      <c r="I3" s="1686"/>
      <c r="J3" s="1687"/>
      <c r="K3" s="1685" t="s">
        <v>166</v>
      </c>
      <c r="L3" s="1686"/>
      <c r="M3" s="1687"/>
      <c r="N3" s="1685" t="s">
        <v>167</v>
      </c>
      <c r="O3" s="1686"/>
      <c r="P3" s="1687"/>
      <c r="Q3" s="1685" t="s">
        <v>168</v>
      </c>
      <c r="R3" s="1686"/>
      <c r="S3" s="1687"/>
      <c r="T3" s="1690" t="s">
        <v>446</v>
      </c>
      <c r="U3" s="1686"/>
      <c r="V3" s="1687"/>
      <c r="W3" s="1685" t="s">
        <v>169</v>
      </c>
      <c r="X3" s="1686"/>
      <c r="Y3" s="1687"/>
      <c r="Z3" s="1685" t="s">
        <v>170</v>
      </c>
      <c r="AA3" s="1686"/>
      <c r="AB3" s="1687"/>
      <c r="AC3" s="1685" t="s">
        <v>171</v>
      </c>
      <c r="AD3" s="1686"/>
      <c r="AE3" s="1687"/>
      <c r="AF3" s="1685" t="s">
        <v>172</v>
      </c>
      <c r="AG3" s="1686"/>
      <c r="AH3" s="1687"/>
      <c r="AI3" s="1685" t="s">
        <v>173</v>
      </c>
      <c r="AJ3" s="1686"/>
      <c r="AK3" s="1687"/>
      <c r="AL3" s="1685" t="s">
        <v>526</v>
      </c>
      <c r="AM3" s="1686"/>
      <c r="AN3" s="1687"/>
      <c r="AO3" s="1685" t="s">
        <v>174</v>
      </c>
      <c r="AP3" s="1686"/>
      <c r="AQ3" s="1687"/>
      <c r="AR3" s="1681" t="s">
        <v>175</v>
      </c>
      <c r="AS3" s="1682"/>
      <c r="AT3" s="1683"/>
      <c r="AU3" s="1685" t="s">
        <v>176</v>
      </c>
      <c r="AV3" s="1686"/>
      <c r="AW3" s="1687"/>
      <c r="AX3" s="1685" t="s">
        <v>177</v>
      </c>
      <c r="AY3" s="1686"/>
      <c r="AZ3" s="1687"/>
      <c r="BA3" s="1685" t="s">
        <v>178</v>
      </c>
      <c r="BB3" s="1686"/>
      <c r="BC3" s="1687"/>
      <c r="BD3" s="1681" t="s">
        <v>179</v>
      </c>
      <c r="BE3" s="1682"/>
      <c r="BF3" s="1683"/>
      <c r="BG3" s="1685" t="s">
        <v>180</v>
      </c>
      <c r="BH3" s="1686"/>
      <c r="BI3" s="1687"/>
      <c r="BJ3" s="1685" t="s">
        <v>181</v>
      </c>
      <c r="BK3" s="1686"/>
      <c r="BL3" s="1687"/>
      <c r="BM3" s="1685" t="s">
        <v>182</v>
      </c>
      <c r="BN3" s="1686"/>
      <c r="BO3" s="1687"/>
      <c r="BP3" s="1685" t="s">
        <v>183</v>
      </c>
      <c r="BQ3" s="1686"/>
      <c r="BR3" s="1691"/>
      <c r="BS3" s="1678" t="s">
        <v>1</v>
      </c>
      <c r="BT3" s="1679"/>
      <c r="BU3" s="1680"/>
      <c r="BV3" s="1681" t="s">
        <v>184</v>
      </c>
      <c r="BW3" s="1682"/>
      <c r="BX3" s="1683"/>
      <c r="BY3" s="1684" t="s">
        <v>2</v>
      </c>
      <c r="BZ3" s="1682"/>
      <c r="CA3" s="1683"/>
    </row>
    <row r="4" spans="1:79" s="580" customFormat="1" ht="56.25" customHeight="1" thickBot="1">
      <c r="A4" s="579" t="s">
        <v>0</v>
      </c>
      <c r="B4" s="625" t="s">
        <v>215</v>
      </c>
      <c r="C4" s="626" t="s">
        <v>216</v>
      </c>
      <c r="D4" s="627" t="s">
        <v>217</v>
      </c>
      <c r="E4" s="628" t="s">
        <v>215</v>
      </c>
      <c r="F4" s="626" t="s">
        <v>216</v>
      </c>
      <c r="G4" s="627" t="s">
        <v>217</v>
      </c>
      <c r="H4" s="628" t="s">
        <v>215</v>
      </c>
      <c r="I4" s="626" t="s">
        <v>216</v>
      </c>
      <c r="J4" s="627" t="s">
        <v>217</v>
      </c>
      <c r="K4" s="628" t="s">
        <v>215</v>
      </c>
      <c r="L4" s="626" t="s">
        <v>216</v>
      </c>
      <c r="M4" s="629" t="s">
        <v>217</v>
      </c>
      <c r="N4" s="628" t="s">
        <v>215</v>
      </c>
      <c r="O4" s="626" t="s">
        <v>216</v>
      </c>
      <c r="P4" s="627" t="s">
        <v>217</v>
      </c>
      <c r="Q4" s="628" t="s">
        <v>215</v>
      </c>
      <c r="R4" s="626" t="s">
        <v>216</v>
      </c>
      <c r="S4" s="627" t="s">
        <v>217</v>
      </c>
      <c r="T4" s="625" t="s">
        <v>215</v>
      </c>
      <c r="U4" s="626" t="s">
        <v>216</v>
      </c>
      <c r="V4" s="627" t="s">
        <v>217</v>
      </c>
      <c r="W4" s="628" t="s">
        <v>215</v>
      </c>
      <c r="X4" s="626" t="s">
        <v>216</v>
      </c>
      <c r="Y4" s="627" t="s">
        <v>217</v>
      </c>
      <c r="Z4" s="628" t="s">
        <v>215</v>
      </c>
      <c r="AA4" s="626" t="s">
        <v>216</v>
      </c>
      <c r="AB4" s="627" t="s">
        <v>217</v>
      </c>
      <c r="AC4" s="628" t="s">
        <v>215</v>
      </c>
      <c r="AD4" s="626" t="s">
        <v>216</v>
      </c>
      <c r="AE4" s="627" t="s">
        <v>217</v>
      </c>
      <c r="AF4" s="628" t="s">
        <v>215</v>
      </c>
      <c r="AG4" s="626" t="s">
        <v>216</v>
      </c>
      <c r="AH4" s="627" t="s">
        <v>217</v>
      </c>
      <c r="AI4" s="628" t="s">
        <v>215</v>
      </c>
      <c r="AJ4" s="626" t="s">
        <v>216</v>
      </c>
      <c r="AK4" s="627" t="s">
        <v>217</v>
      </c>
      <c r="AL4" s="628" t="s">
        <v>215</v>
      </c>
      <c r="AM4" s="626" t="s">
        <v>216</v>
      </c>
      <c r="AN4" s="627" t="s">
        <v>217</v>
      </c>
      <c r="AO4" s="628" t="s">
        <v>215</v>
      </c>
      <c r="AP4" s="626" t="s">
        <v>216</v>
      </c>
      <c r="AQ4" s="627" t="s">
        <v>217</v>
      </c>
      <c r="AR4" s="628" t="s">
        <v>215</v>
      </c>
      <c r="AS4" s="626" t="s">
        <v>216</v>
      </c>
      <c r="AT4" s="627" t="s">
        <v>217</v>
      </c>
      <c r="AU4" s="628" t="s">
        <v>215</v>
      </c>
      <c r="AV4" s="626" t="s">
        <v>216</v>
      </c>
      <c r="AW4" s="627" t="s">
        <v>217</v>
      </c>
      <c r="AX4" s="628" t="s">
        <v>215</v>
      </c>
      <c r="AY4" s="626" t="s">
        <v>216</v>
      </c>
      <c r="AZ4" s="627" t="s">
        <v>217</v>
      </c>
      <c r="BA4" s="628" t="s">
        <v>215</v>
      </c>
      <c r="BB4" s="626" t="s">
        <v>216</v>
      </c>
      <c r="BC4" s="627" t="s">
        <v>217</v>
      </c>
      <c r="BD4" s="628" t="s">
        <v>215</v>
      </c>
      <c r="BE4" s="626" t="s">
        <v>216</v>
      </c>
      <c r="BF4" s="627" t="s">
        <v>217</v>
      </c>
      <c r="BG4" s="628" t="s">
        <v>215</v>
      </c>
      <c r="BH4" s="626" t="s">
        <v>216</v>
      </c>
      <c r="BI4" s="627" t="s">
        <v>217</v>
      </c>
      <c r="BJ4" s="628" t="s">
        <v>215</v>
      </c>
      <c r="BK4" s="626" t="s">
        <v>216</v>
      </c>
      <c r="BL4" s="627" t="s">
        <v>217</v>
      </c>
      <c r="BM4" s="628" t="s">
        <v>215</v>
      </c>
      <c r="BN4" s="626" t="s">
        <v>216</v>
      </c>
      <c r="BO4" s="627" t="s">
        <v>217</v>
      </c>
      <c r="BP4" s="628" t="s">
        <v>215</v>
      </c>
      <c r="BQ4" s="626" t="s">
        <v>216</v>
      </c>
      <c r="BR4" s="724" t="s">
        <v>217</v>
      </c>
      <c r="BS4" s="625" t="s">
        <v>215</v>
      </c>
      <c r="BT4" s="626" t="s">
        <v>216</v>
      </c>
      <c r="BU4" s="627" t="s">
        <v>217</v>
      </c>
      <c r="BV4" s="628" t="s">
        <v>215</v>
      </c>
      <c r="BW4" s="626" t="s">
        <v>216</v>
      </c>
      <c r="BX4" s="627" t="s">
        <v>217</v>
      </c>
      <c r="BY4" s="625" t="s">
        <v>215</v>
      </c>
      <c r="BZ4" s="626" t="s">
        <v>216</v>
      </c>
      <c r="CA4" s="627" t="s">
        <v>217</v>
      </c>
    </row>
    <row r="5" spans="1:79" ht="16.5">
      <c r="A5" s="350" t="s">
        <v>218</v>
      </c>
      <c r="B5" s="630"/>
      <c r="C5" s="416"/>
      <c r="D5" s="417"/>
      <c r="E5" s="631"/>
      <c r="F5" s="632"/>
      <c r="G5" s="633">
        <f>E5-F5</f>
        <v>0</v>
      </c>
      <c r="H5" s="631"/>
      <c r="I5" s="632"/>
      <c r="J5" s="633">
        <f>H5-I5</f>
        <v>0</v>
      </c>
      <c r="K5" s="631"/>
      <c r="L5" s="632"/>
      <c r="M5" s="634"/>
      <c r="N5" s="631"/>
      <c r="O5" s="632"/>
      <c r="P5" s="633"/>
      <c r="Q5" s="631"/>
      <c r="R5" s="632"/>
      <c r="S5" s="633"/>
      <c r="T5" s="635"/>
      <c r="U5" s="632"/>
      <c r="V5" s="633"/>
      <c r="W5" s="631"/>
      <c r="X5" s="632"/>
      <c r="Y5" s="633"/>
      <c r="Z5" s="631"/>
      <c r="AA5" s="632"/>
      <c r="AB5" s="633"/>
      <c r="AC5" s="631"/>
      <c r="AD5" s="632"/>
      <c r="AE5" s="633"/>
      <c r="AF5" s="631"/>
      <c r="AG5" s="632"/>
      <c r="AH5" s="633"/>
      <c r="AI5" s="631"/>
      <c r="AJ5" s="632"/>
      <c r="AK5" s="633">
        <f>AI5-AJ5</f>
        <v>0</v>
      </c>
      <c r="AL5" s="636"/>
      <c r="AM5" s="637"/>
      <c r="AN5" s="638"/>
      <c r="AO5" s="631"/>
      <c r="AP5" s="632"/>
      <c r="AQ5" s="633"/>
      <c r="AR5" s="631"/>
      <c r="AS5" s="632"/>
      <c r="AT5" s="633"/>
      <c r="AU5" s="631"/>
      <c r="AV5" s="632"/>
      <c r="AW5" s="633"/>
      <c r="AX5" s="631"/>
      <c r="AY5" s="632"/>
      <c r="AZ5" s="633">
        <f>AX5-AY5</f>
        <v>0</v>
      </c>
      <c r="BA5" s="631"/>
      <c r="BB5" s="632"/>
      <c r="BC5" s="633"/>
      <c r="BD5" s="639"/>
      <c r="BE5" s="632"/>
      <c r="BF5" s="633"/>
      <c r="BG5" s="640"/>
      <c r="BH5" s="217"/>
      <c r="BI5" s="214"/>
      <c r="BJ5" s="641"/>
      <c r="BK5" s="642"/>
      <c r="BL5" s="634"/>
      <c r="BM5" s="643"/>
      <c r="BN5" s="644"/>
      <c r="BO5" s="645"/>
      <c r="BP5" s="631"/>
      <c r="BQ5" s="632"/>
      <c r="BR5" s="716"/>
      <c r="BS5" s="635"/>
      <c r="BT5" s="632"/>
      <c r="BU5" s="633"/>
      <c r="BV5" s="643"/>
      <c r="BW5" s="644"/>
      <c r="BX5" s="645"/>
      <c r="BY5" s="635"/>
      <c r="BZ5" s="632"/>
      <c r="CA5" s="646"/>
    </row>
    <row r="6" spans="1:79" ht="16.5">
      <c r="A6" s="347" t="s">
        <v>219</v>
      </c>
      <c r="B6" s="185">
        <v>2580357</v>
      </c>
      <c r="C6" s="186">
        <v>1982273</v>
      </c>
      <c r="D6" s="187">
        <v>598084</v>
      </c>
      <c r="E6" s="188">
        <v>2179814</v>
      </c>
      <c r="F6" s="189">
        <v>1311506</v>
      </c>
      <c r="G6" s="633">
        <f>E6-F6</f>
        <v>868308</v>
      </c>
      <c r="H6" s="188">
        <v>594407</v>
      </c>
      <c r="I6" s="189">
        <v>543258</v>
      </c>
      <c r="J6" s="633">
        <f aca="true" t="shared" si="0" ref="J6:J20">H6-I6</f>
        <v>51149</v>
      </c>
      <c r="K6" s="188">
        <v>532599</v>
      </c>
      <c r="L6" s="189">
        <v>384889</v>
      </c>
      <c r="M6" s="194">
        <v>147710</v>
      </c>
      <c r="N6" s="188">
        <v>377845</v>
      </c>
      <c r="O6" s="189">
        <v>325091</v>
      </c>
      <c r="P6" s="633">
        <f>N6-O6</f>
        <v>52754</v>
      </c>
      <c r="Q6" s="188">
        <v>1096170</v>
      </c>
      <c r="R6" s="190">
        <v>942885</v>
      </c>
      <c r="S6" s="190">
        <f>Q6-R6</f>
        <v>153285</v>
      </c>
      <c r="T6" s="188">
        <v>660224</v>
      </c>
      <c r="U6" s="190">
        <v>576874</v>
      </c>
      <c r="V6" s="190">
        <v>83350</v>
      </c>
      <c r="W6" s="188">
        <v>1151549</v>
      </c>
      <c r="X6" s="189">
        <v>685008</v>
      </c>
      <c r="Y6" s="190">
        <f>W6-X6</f>
        <v>466541</v>
      </c>
      <c r="Z6" s="188">
        <v>569900</v>
      </c>
      <c r="AA6" s="189">
        <v>472314</v>
      </c>
      <c r="AB6" s="633">
        <f>Z6-AA6</f>
        <v>97586</v>
      </c>
      <c r="AC6" s="188">
        <v>932989</v>
      </c>
      <c r="AD6" s="189">
        <v>561509</v>
      </c>
      <c r="AE6" s="633">
        <f>AC6-AD6</f>
        <v>371480</v>
      </c>
      <c r="AF6" s="188">
        <v>2353454</v>
      </c>
      <c r="AG6" s="189">
        <v>1935262</v>
      </c>
      <c r="AH6" s="633">
        <f>AF6-AG6</f>
        <v>418192</v>
      </c>
      <c r="AI6" s="188">
        <v>1482272</v>
      </c>
      <c r="AJ6" s="189">
        <v>1184387</v>
      </c>
      <c r="AK6" s="633">
        <f aca="true" t="shared" si="1" ref="AK6:AK20">AI6-AJ6</f>
        <v>297885</v>
      </c>
      <c r="AL6" s="647">
        <f>510747+6701</f>
        <v>517448</v>
      </c>
      <c r="AM6" s="191">
        <v>473369</v>
      </c>
      <c r="AN6" s="638">
        <f aca="true" t="shared" si="2" ref="AN6:AN20">AL6-AM6</f>
        <v>44079</v>
      </c>
      <c r="AO6" s="188">
        <v>569329</v>
      </c>
      <c r="AP6" s="189">
        <v>514205</v>
      </c>
      <c r="AQ6" s="633">
        <f aca="true" t="shared" si="3" ref="AQ6:AQ15">AO6-AP6</f>
        <v>55124</v>
      </c>
      <c r="AR6" s="188">
        <v>2085395</v>
      </c>
      <c r="AS6" s="189">
        <v>1783053</v>
      </c>
      <c r="AT6" s="633">
        <f aca="true" t="shared" si="4" ref="AT6:AT14">AR6-AS6</f>
        <v>302342</v>
      </c>
      <c r="AU6" s="188">
        <v>5288542</v>
      </c>
      <c r="AV6" s="189">
        <v>4107960</v>
      </c>
      <c r="AW6" s="633">
        <f aca="true" t="shared" si="5" ref="AW6:AW15">AU6-AV6</f>
        <v>1180582</v>
      </c>
      <c r="AX6" s="188"/>
      <c r="AY6" s="189"/>
      <c r="AZ6" s="633">
        <f aca="true" t="shared" si="6" ref="AZ6:AZ20">AX6-AY6</f>
        <v>0</v>
      </c>
      <c r="BA6" s="188">
        <v>914453</v>
      </c>
      <c r="BB6" s="189">
        <v>645491</v>
      </c>
      <c r="BC6" s="633">
        <f>BA6-BB6</f>
        <v>268962</v>
      </c>
      <c r="BD6" s="192"/>
      <c r="BE6" s="189"/>
      <c r="BF6" s="206"/>
      <c r="BG6" s="16">
        <v>2547574</v>
      </c>
      <c r="BH6" s="17">
        <v>2346263</v>
      </c>
      <c r="BI6" s="214">
        <f aca="true" t="shared" si="7" ref="BI6:BI16">BG6-BH6</f>
        <v>201311</v>
      </c>
      <c r="BJ6" s="649">
        <v>583586</v>
      </c>
      <c r="BK6" s="196">
        <v>385665</v>
      </c>
      <c r="BL6" s="634">
        <f aca="true" t="shared" si="8" ref="BL6:BL17">BJ6-BK6</f>
        <v>197921</v>
      </c>
      <c r="BM6" s="649">
        <v>685595</v>
      </c>
      <c r="BN6" s="196">
        <v>581518</v>
      </c>
      <c r="BO6" s="197">
        <v>63040</v>
      </c>
      <c r="BP6" s="188">
        <v>2047796</v>
      </c>
      <c r="BQ6" s="189">
        <v>1611208</v>
      </c>
      <c r="BR6" s="409">
        <f>BP6-BQ6</f>
        <v>436588</v>
      </c>
      <c r="BS6" s="198">
        <f aca="true" t="shared" si="9" ref="BS6:BS20">B6+E6+H6+K6+N6+Q6+T6+W6+Z6+AC6+AF6+AI6+AL6+AO6+AR6+AU6+AX6+BA6+BD6+BG6+BJ6+BM6+BP6</f>
        <v>29751298</v>
      </c>
      <c r="BT6" s="189">
        <f aca="true" t="shared" si="10" ref="BT6:BU20">C6+F6+I6+L6+O6+R6+U6+X6+AA6+AD6+AG6+AJ6+AM6+AP6+AS6+AV6+AY6+BB6+BE6+BH6+BK6+BN6+BQ6</f>
        <v>23353988</v>
      </c>
      <c r="BU6" s="190">
        <f>D6+G6+J6+M6+P6+S6+V6+Y6+AB6+AE6+AH6+AK6+AN6+AQ6+AT6+AW6+AZ6+BC6+BF6+BI6+BL6+BO6+BR6</f>
        <v>6356273</v>
      </c>
      <c r="BV6" s="649">
        <v>499114</v>
      </c>
      <c r="BW6" s="196">
        <v>242836</v>
      </c>
      <c r="BX6" s="197">
        <f>BV6-BW6</f>
        <v>256278</v>
      </c>
      <c r="BY6" s="198">
        <f aca="true" t="shared" si="11" ref="BY6:BY20">BS6+BV6</f>
        <v>30250412</v>
      </c>
      <c r="BZ6" s="189">
        <f aca="true" t="shared" si="12" ref="BZ6:CA20">BT6+BW6</f>
        <v>23596824</v>
      </c>
      <c r="CA6" s="190">
        <f t="shared" si="12"/>
        <v>6612551</v>
      </c>
    </row>
    <row r="7" spans="1:79" ht="16.5">
      <c r="A7" s="347" t="s">
        <v>220</v>
      </c>
      <c r="B7" s="185"/>
      <c r="C7" s="186"/>
      <c r="D7" s="187"/>
      <c r="E7" s="188"/>
      <c r="F7" s="189"/>
      <c r="G7" s="633"/>
      <c r="H7" s="188"/>
      <c r="I7" s="189"/>
      <c r="J7" s="633">
        <f t="shared" si="0"/>
        <v>0</v>
      </c>
      <c r="K7" s="188">
        <v>743070</v>
      </c>
      <c r="L7" s="189"/>
      <c r="M7" s="194">
        <f>K7</f>
        <v>743070</v>
      </c>
      <c r="N7" s="188"/>
      <c r="O7" s="189"/>
      <c r="P7" s="633"/>
      <c r="Q7" s="188"/>
      <c r="R7" s="190"/>
      <c r="S7" s="190"/>
      <c r="T7" s="198"/>
      <c r="U7" s="189"/>
      <c r="V7" s="190"/>
      <c r="W7" s="188"/>
      <c r="X7" s="189"/>
      <c r="Y7" s="190"/>
      <c r="Z7" s="188"/>
      <c r="AA7" s="189"/>
      <c r="AB7" s="633"/>
      <c r="AC7" s="188"/>
      <c r="AD7" s="189"/>
      <c r="AE7" s="633"/>
      <c r="AF7" s="188"/>
      <c r="AG7" s="189"/>
      <c r="AH7" s="633"/>
      <c r="AI7" s="188">
        <v>903280</v>
      </c>
      <c r="AJ7" s="189"/>
      <c r="AK7" s="633">
        <f t="shared" si="1"/>
        <v>903280</v>
      </c>
      <c r="AL7" s="647"/>
      <c r="AM7" s="191"/>
      <c r="AN7" s="638"/>
      <c r="AO7" s="188"/>
      <c r="AP7" s="189"/>
      <c r="AQ7" s="633"/>
      <c r="AR7" s="453"/>
      <c r="AS7" s="454"/>
      <c r="AT7" s="633"/>
      <c r="AU7" s="188"/>
      <c r="AV7" s="189"/>
      <c r="AW7" s="633"/>
      <c r="AX7" s="188"/>
      <c r="AY7" s="189"/>
      <c r="AZ7" s="633">
        <f t="shared" si="6"/>
        <v>0</v>
      </c>
      <c r="BA7" s="188"/>
      <c r="BB7" s="189"/>
      <c r="BC7" s="633"/>
      <c r="BD7" s="192"/>
      <c r="BE7" s="189"/>
      <c r="BF7" s="206"/>
      <c r="BG7" s="16">
        <v>1762522</v>
      </c>
      <c r="BH7" s="77"/>
      <c r="BI7" s="214">
        <f t="shared" si="7"/>
        <v>1762522</v>
      </c>
      <c r="BJ7" s="649">
        <v>56334</v>
      </c>
      <c r="BK7" s="196"/>
      <c r="BL7" s="634">
        <f t="shared" si="8"/>
        <v>56334</v>
      </c>
      <c r="BM7" s="649"/>
      <c r="BN7" s="196"/>
      <c r="BO7" s="197"/>
      <c r="BP7" s="188"/>
      <c r="BQ7" s="189"/>
      <c r="BR7" s="409"/>
      <c r="BS7" s="198">
        <f t="shared" si="9"/>
        <v>3465206</v>
      </c>
      <c r="BT7" s="189">
        <f t="shared" si="10"/>
        <v>0</v>
      </c>
      <c r="BU7" s="190">
        <f t="shared" si="10"/>
        <v>3465206</v>
      </c>
      <c r="BV7" s="188">
        <v>849659</v>
      </c>
      <c r="BW7" s="189"/>
      <c r="BX7" s="197">
        <f aca="true" t="shared" si="13" ref="BX7:BX20">BV7-BW7</f>
        <v>849659</v>
      </c>
      <c r="BY7" s="198">
        <f t="shared" si="11"/>
        <v>4314865</v>
      </c>
      <c r="BZ7" s="189">
        <f t="shared" si="12"/>
        <v>0</v>
      </c>
      <c r="CA7" s="190">
        <f t="shared" si="12"/>
        <v>4314865</v>
      </c>
    </row>
    <row r="8" spans="1:79" ht="16.5">
      <c r="A8" s="347" t="s">
        <v>221</v>
      </c>
      <c r="B8" s="185"/>
      <c r="C8" s="186"/>
      <c r="D8" s="187"/>
      <c r="E8" s="188"/>
      <c r="F8" s="189"/>
      <c r="G8" s="633"/>
      <c r="H8" s="188"/>
      <c r="I8" s="189"/>
      <c r="J8" s="633">
        <f t="shared" si="0"/>
        <v>0</v>
      </c>
      <c r="K8" s="188">
        <v>555102</v>
      </c>
      <c r="L8" s="189">
        <v>301878</v>
      </c>
      <c r="M8" s="194">
        <v>253224</v>
      </c>
      <c r="N8" s="188"/>
      <c r="O8" s="189"/>
      <c r="P8" s="633"/>
      <c r="Q8" s="188"/>
      <c r="R8" s="190"/>
      <c r="S8" s="190"/>
      <c r="T8" s="198"/>
      <c r="U8" s="189"/>
      <c r="V8" s="190"/>
      <c r="W8" s="188"/>
      <c r="X8" s="189"/>
      <c r="Y8" s="190"/>
      <c r="Z8" s="188"/>
      <c r="AA8" s="189"/>
      <c r="AB8" s="633"/>
      <c r="AC8" s="188"/>
      <c r="AD8" s="189"/>
      <c r="AE8" s="633"/>
      <c r="AF8" s="188"/>
      <c r="AG8" s="189"/>
      <c r="AH8" s="633"/>
      <c r="AI8" s="188"/>
      <c r="AJ8" s="189"/>
      <c r="AK8" s="633">
        <f t="shared" si="1"/>
        <v>0</v>
      </c>
      <c r="AL8" s="188"/>
      <c r="AM8" s="189"/>
      <c r="AN8" s="638"/>
      <c r="AO8" s="188"/>
      <c r="AP8" s="189"/>
      <c r="AQ8" s="633"/>
      <c r="AR8" s="188"/>
      <c r="AS8" s="189"/>
      <c r="AT8" s="633"/>
      <c r="AU8" s="188"/>
      <c r="AV8" s="189"/>
      <c r="AW8" s="633"/>
      <c r="AX8" s="188"/>
      <c r="AY8" s="189"/>
      <c r="AZ8" s="633">
        <f t="shared" si="6"/>
        <v>0</v>
      </c>
      <c r="BA8" s="188">
        <v>401424</v>
      </c>
      <c r="BB8" s="189">
        <v>236614</v>
      </c>
      <c r="BC8" s="633">
        <f>BA8-BB8</f>
        <v>164810</v>
      </c>
      <c r="BD8" s="192"/>
      <c r="BE8" s="189"/>
      <c r="BF8" s="206"/>
      <c r="BG8" s="33"/>
      <c r="BH8" s="77"/>
      <c r="BI8" s="214"/>
      <c r="BJ8" s="649"/>
      <c r="BK8" s="196"/>
      <c r="BL8" s="634"/>
      <c r="BM8" s="649">
        <v>90464</v>
      </c>
      <c r="BN8" s="196">
        <v>72858</v>
      </c>
      <c r="BO8" s="197">
        <v>22653</v>
      </c>
      <c r="BP8" s="188"/>
      <c r="BQ8" s="189"/>
      <c r="BR8" s="409"/>
      <c r="BS8" s="198">
        <f t="shared" si="9"/>
        <v>1046990</v>
      </c>
      <c r="BT8" s="189">
        <f t="shared" si="10"/>
        <v>611350</v>
      </c>
      <c r="BU8" s="190">
        <f t="shared" si="10"/>
        <v>440687</v>
      </c>
      <c r="BV8" s="649">
        <v>818758</v>
      </c>
      <c r="BW8" s="196">
        <v>93911</v>
      </c>
      <c r="BX8" s="197">
        <f t="shared" si="13"/>
        <v>724847</v>
      </c>
      <c r="BY8" s="198">
        <f t="shared" si="11"/>
        <v>1865748</v>
      </c>
      <c r="BZ8" s="189">
        <f t="shared" si="12"/>
        <v>705261</v>
      </c>
      <c r="CA8" s="190">
        <f t="shared" si="12"/>
        <v>1165534</v>
      </c>
    </row>
    <row r="9" spans="1:79" ht="16.5">
      <c r="A9" s="347" t="s">
        <v>222</v>
      </c>
      <c r="B9" s="185"/>
      <c r="C9" s="186"/>
      <c r="D9" s="187"/>
      <c r="E9" s="188"/>
      <c r="F9" s="189"/>
      <c r="G9" s="633"/>
      <c r="H9" s="188"/>
      <c r="I9" s="189"/>
      <c r="J9" s="633">
        <f t="shared" si="0"/>
        <v>0</v>
      </c>
      <c r="K9" s="188">
        <v>1919231</v>
      </c>
      <c r="L9" s="189">
        <v>349461</v>
      </c>
      <c r="M9" s="194">
        <v>1569770</v>
      </c>
      <c r="N9" s="188"/>
      <c r="O9" s="189"/>
      <c r="P9" s="633"/>
      <c r="Q9" s="188"/>
      <c r="R9" s="189"/>
      <c r="S9" s="190"/>
      <c r="T9" s="198"/>
      <c r="U9" s="189"/>
      <c r="V9" s="190"/>
      <c r="W9" s="188">
        <v>261869</v>
      </c>
      <c r="X9" s="189">
        <v>27612</v>
      </c>
      <c r="Y9" s="190">
        <f aca="true" t="shared" si="14" ref="Y9:Y15">W9-X9</f>
        <v>234257</v>
      </c>
      <c r="Z9" s="188"/>
      <c r="AA9" s="189"/>
      <c r="AB9" s="633"/>
      <c r="AC9" s="188"/>
      <c r="AD9" s="189"/>
      <c r="AE9" s="633"/>
      <c r="AF9" s="188">
        <v>2866745</v>
      </c>
      <c r="AG9" s="189">
        <v>492798</v>
      </c>
      <c r="AH9" s="633">
        <f>AF9-AG9</f>
        <v>2373947</v>
      </c>
      <c r="AI9" s="188">
        <v>2126488</v>
      </c>
      <c r="AJ9" s="189">
        <v>134708</v>
      </c>
      <c r="AK9" s="633">
        <f t="shared" si="1"/>
        <v>1991780</v>
      </c>
      <c r="AL9" s="188">
        <v>1218797</v>
      </c>
      <c r="AM9" s="189">
        <v>86813</v>
      </c>
      <c r="AN9" s="638">
        <f t="shared" si="2"/>
        <v>1131984</v>
      </c>
      <c r="AO9" s="188"/>
      <c r="AP9" s="189"/>
      <c r="AQ9" s="633"/>
      <c r="AR9" s="188"/>
      <c r="AS9" s="189"/>
      <c r="AT9" s="633"/>
      <c r="AU9" s="188"/>
      <c r="AV9" s="189"/>
      <c r="AW9" s="633"/>
      <c r="AX9" s="188"/>
      <c r="AY9" s="189"/>
      <c r="AZ9" s="633">
        <f t="shared" si="6"/>
        <v>0</v>
      </c>
      <c r="BA9" s="188"/>
      <c r="BB9" s="189"/>
      <c r="BC9" s="633"/>
      <c r="BD9" s="192"/>
      <c r="BE9" s="189"/>
      <c r="BF9" s="206"/>
      <c r="BG9" s="16">
        <v>677870</v>
      </c>
      <c r="BH9" s="17">
        <v>106031</v>
      </c>
      <c r="BI9" s="214">
        <f t="shared" si="7"/>
        <v>571839</v>
      </c>
      <c r="BJ9" s="649">
        <v>134370</v>
      </c>
      <c r="BK9" s="196">
        <v>17873</v>
      </c>
      <c r="BL9" s="634">
        <f t="shared" si="8"/>
        <v>116497</v>
      </c>
      <c r="BM9" s="649"/>
      <c r="BN9" s="196"/>
      <c r="BO9" s="197"/>
      <c r="BP9" s="188">
        <v>1049746</v>
      </c>
      <c r="BQ9" s="189">
        <v>145208</v>
      </c>
      <c r="BR9" s="409">
        <f>BP9-BQ9</f>
        <v>904538</v>
      </c>
      <c r="BS9" s="198">
        <f t="shared" si="9"/>
        <v>10255116</v>
      </c>
      <c r="BT9" s="189">
        <f t="shared" si="10"/>
        <v>1360504</v>
      </c>
      <c r="BU9" s="190">
        <f t="shared" si="10"/>
        <v>8894612</v>
      </c>
      <c r="BV9" s="649">
        <v>30997670</v>
      </c>
      <c r="BW9" s="196">
        <v>8335436</v>
      </c>
      <c r="BX9" s="197">
        <f t="shared" si="13"/>
        <v>22662234</v>
      </c>
      <c r="BY9" s="198">
        <f t="shared" si="11"/>
        <v>41252786</v>
      </c>
      <c r="BZ9" s="189">
        <f t="shared" si="12"/>
        <v>9695940</v>
      </c>
      <c r="CA9" s="190">
        <f t="shared" si="12"/>
        <v>31556846</v>
      </c>
    </row>
    <row r="10" spans="1:79" ht="16.5">
      <c r="A10" s="347" t="s">
        <v>223</v>
      </c>
      <c r="B10" s="185"/>
      <c r="C10" s="186"/>
      <c r="D10" s="187"/>
      <c r="E10" s="188"/>
      <c r="F10" s="189"/>
      <c r="G10" s="633"/>
      <c r="H10" s="188"/>
      <c r="I10" s="189"/>
      <c r="J10" s="633">
        <f t="shared" si="0"/>
        <v>0</v>
      </c>
      <c r="K10" s="188"/>
      <c r="L10" s="189"/>
      <c r="M10" s="194"/>
      <c r="N10" s="188"/>
      <c r="O10" s="189"/>
      <c r="P10" s="633"/>
      <c r="Q10" s="188"/>
      <c r="R10" s="189"/>
      <c r="S10" s="190"/>
      <c r="T10" s="198"/>
      <c r="U10" s="189"/>
      <c r="V10" s="190"/>
      <c r="W10" s="188"/>
      <c r="X10" s="189"/>
      <c r="Y10" s="190"/>
      <c r="Z10" s="188"/>
      <c r="AA10" s="189"/>
      <c r="AB10" s="633"/>
      <c r="AC10" s="188"/>
      <c r="AD10" s="189"/>
      <c r="AE10" s="633"/>
      <c r="AF10" s="188"/>
      <c r="AG10" s="189"/>
      <c r="AH10" s="633"/>
      <c r="AI10" s="188"/>
      <c r="AJ10" s="189"/>
      <c r="AK10" s="633">
        <f t="shared" si="1"/>
        <v>0</v>
      </c>
      <c r="AL10" s="188"/>
      <c r="AM10" s="189"/>
      <c r="AN10" s="638"/>
      <c r="AO10" s="188"/>
      <c r="AP10" s="189"/>
      <c r="AQ10" s="633"/>
      <c r="AR10" s="188"/>
      <c r="AS10" s="189"/>
      <c r="AT10" s="633"/>
      <c r="AU10" s="188"/>
      <c r="AV10" s="189"/>
      <c r="AW10" s="633"/>
      <c r="AX10" s="188"/>
      <c r="AY10" s="189"/>
      <c r="AZ10" s="633">
        <f t="shared" si="6"/>
        <v>0</v>
      </c>
      <c r="BA10" s="188"/>
      <c r="BB10" s="189"/>
      <c r="BC10" s="633"/>
      <c r="BD10" s="192"/>
      <c r="BE10" s="189"/>
      <c r="BF10" s="206"/>
      <c r="BG10" s="16">
        <v>1427317</v>
      </c>
      <c r="BH10" s="17">
        <v>103580</v>
      </c>
      <c r="BI10" s="214">
        <f t="shared" si="7"/>
        <v>1323737</v>
      </c>
      <c r="BJ10" s="649"/>
      <c r="BK10" s="196"/>
      <c r="BL10" s="634"/>
      <c r="BM10" s="649"/>
      <c r="BN10" s="196"/>
      <c r="BO10" s="197"/>
      <c r="BP10" s="188"/>
      <c r="BQ10" s="189"/>
      <c r="BR10" s="409"/>
      <c r="BS10" s="198">
        <f t="shared" si="9"/>
        <v>1427317</v>
      </c>
      <c r="BT10" s="189">
        <f t="shared" si="10"/>
        <v>103580</v>
      </c>
      <c r="BU10" s="190">
        <f>D10+G10+J10+M10+P10+S10+V10+Y10+AB10+AE10+AH10+AK10+AN10+AQ10+AT10+AW10+AZ10+BC10+BF10+BI10+BL10+BO10+BR10</f>
        <v>1323737</v>
      </c>
      <c r="BV10" s="649"/>
      <c r="BW10" s="196"/>
      <c r="BX10" s="197"/>
      <c r="BY10" s="198">
        <f t="shared" si="11"/>
        <v>1427317</v>
      </c>
      <c r="BZ10" s="189">
        <f t="shared" si="12"/>
        <v>103580</v>
      </c>
      <c r="CA10" s="190">
        <f t="shared" si="12"/>
        <v>1323737</v>
      </c>
    </row>
    <row r="11" spans="1:79" ht="16.5">
      <c r="A11" s="347" t="s">
        <v>224</v>
      </c>
      <c r="B11" s="185">
        <v>188513</v>
      </c>
      <c r="C11" s="186">
        <v>137909</v>
      </c>
      <c r="D11" s="187">
        <v>50804</v>
      </c>
      <c r="E11" s="188">
        <v>4340</v>
      </c>
      <c r="F11" s="189">
        <v>4341</v>
      </c>
      <c r="G11" s="633">
        <f>E11-F11</f>
        <v>-1</v>
      </c>
      <c r="H11" s="188">
        <v>130575</v>
      </c>
      <c r="I11" s="189">
        <v>128888</v>
      </c>
      <c r="J11" s="633">
        <f t="shared" si="0"/>
        <v>1687</v>
      </c>
      <c r="K11" s="204">
        <v>263320</v>
      </c>
      <c r="L11" s="189">
        <v>196777</v>
      </c>
      <c r="M11" s="194">
        <v>66543</v>
      </c>
      <c r="N11" s="188">
        <v>62732</v>
      </c>
      <c r="O11" s="189">
        <v>52499</v>
      </c>
      <c r="P11" s="633">
        <f>N11-O11</f>
        <v>10233</v>
      </c>
      <c r="Q11" s="188">
        <v>27886</v>
      </c>
      <c r="R11" s="189">
        <v>23197</v>
      </c>
      <c r="S11" s="190">
        <f>Q11-R11</f>
        <v>4689</v>
      </c>
      <c r="T11" s="188">
        <v>45543</v>
      </c>
      <c r="U11" s="189">
        <v>31626</v>
      </c>
      <c r="V11" s="190">
        <v>13917</v>
      </c>
      <c r="W11" s="188">
        <v>96172</v>
      </c>
      <c r="X11" s="189">
        <v>59524</v>
      </c>
      <c r="Y11" s="190">
        <f t="shared" si="14"/>
        <v>36648</v>
      </c>
      <c r="Z11" s="188">
        <v>128544</v>
      </c>
      <c r="AA11" s="189">
        <v>112241</v>
      </c>
      <c r="AB11" s="633">
        <f>Z11-AA11</f>
        <v>16303</v>
      </c>
      <c r="AC11" s="188">
        <v>64631</v>
      </c>
      <c r="AD11" s="189">
        <v>40785</v>
      </c>
      <c r="AE11" s="633">
        <f>AC11-AD11</f>
        <v>23846</v>
      </c>
      <c r="AF11" s="188">
        <v>672122</v>
      </c>
      <c r="AG11" s="189">
        <v>624261</v>
      </c>
      <c r="AH11" s="633">
        <f>AF11-AG11</f>
        <v>47861</v>
      </c>
      <c r="AI11" s="188">
        <v>338678</v>
      </c>
      <c r="AJ11" s="189">
        <v>287672</v>
      </c>
      <c r="AK11" s="633">
        <f t="shared" si="1"/>
        <v>51006</v>
      </c>
      <c r="AL11" s="647">
        <v>89369</v>
      </c>
      <c r="AM11" s="191">
        <v>68988</v>
      </c>
      <c r="AN11" s="638">
        <f t="shared" si="2"/>
        <v>20381</v>
      </c>
      <c r="AO11" s="188">
        <v>23943</v>
      </c>
      <c r="AP11" s="189">
        <v>22818</v>
      </c>
      <c r="AQ11" s="633">
        <f t="shared" si="3"/>
        <v>1125</v>
      </c>
      <c r="AR11" s="453">
        <v>556096</v>
      </c>
      <c r="AS11" s="454">
        <v>443495</v>
      </c>
      <c r="AT11" s="633">
        <f t="shared" si="4"/>
        <v>112601</v>
      </c>
      <c r="AU11" s="188">
        <v>422679</v>
      </c>
      <c r="AV11" s="189">
        <v>319944</v>
      </c>
      <c r="AW11" s="633">
        <f t="shared" si="5"/>
        <v>102735</v>
      </c>
      <c r="AX11" s="188"/>
      <c r="AY11" s="189"/>
      <c r="AZ11" s="633">
        <f t="shared" si="6"/>
        <v>0</v>
      </c>
      <c r="BA11" s="188">
        <v>129777</v>
      </c>
      <c r="BB11" s="189">
        <v>116475</v>
      </c>
      <c r="BC11" s="633">
        <f>BA11-BB11</f>
        <v>13302</v>
      </c>
      <c r="BD11" s="192"/>
      <c r="BE11" s="189"/>
      <c r="BF11" s="206"/>
      <c r="BG11" s="16">
        <v>984278</v>
      </c>
      <c r="BH11" s="17">
        <v>696840</v>
      </c>
      <c r="BI11" s="214">
        <f t="shared" si="7"/>
        <v>287438</v>
      </c>
      <c r="BJ11" s="649">
        <v>247393</v>
      </c>
      <c r="BK11" s="196">
        <v>144497</v>
      </c>
      <c r="BL11" s="634">
        <f t="shared" si="8"/>
        <v>102896</v>
      </c>
      <c r="BM11" s="649">
        <v>46971</v>
      </c>
      <c r="BN11" s="196">
        <v>29603</v>
      </c>
      <c r="BO11" s="197">
        <v>20998</v>
      </c>
      <c r="BP11" s="188">
        <v>263698</v>
      </c>
      <c r="BQ11" s="189">
        <v>216165</v>
      </c>
      <c r="BR11" s="409">
        <f>BP11-BQ11</f>
        <v>47533</v>
      </c>
      <c r="BS11" s="198">
        <f t="shared" si="9"/>
        <v>4787260</v>
      </c>
      <c r="BT11" s="189">
        <f t="shared" si="10"/>
        <v>3758545</v>
      </c>
      <c r="BU11" s="190">
        <f t="shared" si="10"/>
        <v>1032545</v>
      </c>
      <c r="BV11" s="188">
        <v>4898138</v>
      </c>
      <c r="BW11" s="189">
        <v>3815509</v>
      </c>
      <c r="BX11" s="197">
        <f t="shared" si="13"/>
        <v>1082629</v>
      </c>
      <c r="BY11" s="198">
        <f t="shared" si="11"/>
        <v>9685398</v>
      </c>
      <c r="BZ11" s="189">
        <f t="shared" si="12"/>
        <v>7574054</v>
      </c>
      <c r="CA11" s="190">
        <f t="shared" si="12"/>
        <v>2115174</v>
      </c>
    </row>
    <row r="12" spans="1:79" ht="16.5">
      <c r="A12" s="347" t="s">
        <v>225</v>
      </c>
      <c r="B12" s="185">
        <v>767426</v>
      </c>
      <c r="C12" s="186">
        <v>660309</v>
      </c>
      <c r="D12" s="187">
        <v>107117</v>
      </c>
      <c r="E12" s="188">
        <v>85914</v>
      </c>
      <c r="F12" s="189">
        <v>73993</v>
      </c>
      <c r="G12" s="633">
        <f>E12-F12</f>
        <v>11921</v>
      </c>
      <c r="H12" s="188">
        <v>549552</v>
      </c>
      <c r="I12" s="189">
        <v>479226</v>
      </c>
      <c r="J12" s="633">
        <f t="shared" si="0"/>
        <v>70326</v>
      </c>
      <c r="K12" s="188">
        <f>699747+289338</f>
        <v>989085</v>
      </c>
      <c r="L12" s="189">
        <f>555938+180396</f>
        <v>736334</v>
      </c>
      <c r="M12" s="194">
        <f>143809+108942</f>
        <v>252751</v>
      </c>
      <c r="N12" s="188">
        <v>378812</v>
      </c>
      <c r="O12" s="189">
        <v>290441</v>
      </c>
      <c r="P12" s="633">
        <f>N12-O12</f>
        <v>88371</v>
      </c>
      <c r="Q12" s="188">
        <v>526883</v>
      </c>
      <c r="R12" s="189">
        <v>342679</v>
      </c>
      <c r="S12" s="190">
        <f>Q12-R12</f>
        <v>184204</v>
      </c>
      <c r="T12" s="188">
        <v>252287</v>
      </c>
      <c r="U12" s="189">
        <v>229998</v>
      </c>
      <c r="V12" s="190">
        <v>22289</v>
      </c>
      <c r="W12" s="188">
        <v>377734</v>
      </c>
      <c r="X12" s="189">
        <v>258848</v>
      </c>
      <c r="Y12" s="190">
        <v>78886</v>
      </c>
      <c r="Z12" s="188">
        <v>386460</v>
      </c>
      <c r="AA12" s="189">
        <v>318488</v>
      </c>
      <c r="AB12" s="633">
        <f>Z12-AA12</f>
        <v>67972</v>
      </c>
      <c r="AC12" s="188">
        <v>491386</v>
      </c>
      <c r="AD12" s="189">
        <v>293433</v>
      </c>
      <c r="AE12" s="633">
        <f>AC12-AD12</f>
        <v>197953</v>
      </c>
      <c r="AF12" s="188">
        <v>1245367</v>
      </c>
      <c r="AG12" s="189">
        <v>969574</v>
      </c>
      <c r="AH12" s="633">
        <f>AF12-AG12</f>
        <v>275793</v>
      </c>
      <c r="AI12" s="188">
        <v>571926</v>
      </c>
      <c r="AJ12" s="189">
        <v>476654</v>
      </c>
      <c r="AK12" s="633">
        <f t="shared" si="1"/>
        <v>95272</v>
      </c>
      <c r="AL12" s="647">
        <f>126768+83714</f>
        <v>210482</v>
      </c>
      <c r="AM12" s="191">
        <f>95313+71286</f>
        <v>166599</v>
      </c>
      <c r="AN12" s="638">
        <f t="shared" si="2"/>
        <v>43883</v>
      </c>
      <c r="AO12" s="188">
        <v>452492</v>
      </c>
      <c r="AP12" s="189">
        <v>364191</v>
      </c>
      <c r="AQ12" s="633">
        <f t="shared" si="3"/>
        <v>88301</v>
      </c>
      <c r="AR12" s="453">
        <v>821399</v>
      </c>
      <c r="AS12" s="454">
        <v>670448</v>
      </c>
      <c r="AT12" s="633">
        <f t="shared" si="4"/>
        <v>150951</v>
      </c>
      <c r="AU12" s="188">
        <v>1404991</v>
      </c>
      <c r="AV12" s="189">
        <v>1192549</v>
      </c>
      <c r="AW12" s="633">
        <f>AU12-AV12</f>
        <v>212442</v>
      </c>
      <c r="AX12" s="188"/>
      <c r="AY12" s="189"/>
      <c r="AZ12" s="633">
        <f t="shared" si="6"/>
        <v>0</v>
      </c>
      <c r="BA12" s="188">
        <v>592458</v>
      </c>
      <c r="BB12" s="189">
        <v>556058</v>
      </c>
      <c r="BC12" s="633">
        <f>BA12-BB12</f>
        <v>36400</v>
      </c>
      <c r="BD12" s="192"/>
      <c r="BE12" s="189"/>
      <c r="BF12" s="206"/>
      <c r="BG12" s="16">
        <v>1761652</v>
      </c>
      <c r="BH12" s="17">
        <v>1468637</v>
      </c>
      <c r="BI12" s="214">
        <f t="shared" si="7"/>
        <v>293015</v>
      </c>
      <c r="BJ12" s="649">
        <v>276205</v>
      </c>
      <c r="BK12" s="196">
        <v>212159</v>
      </c>
      <c r="BL12" s="634">
        <f t="shared" si="8"/>
        <v>64046</v>
      </c>
      <c r="BM12" s="649">
        <v>144398</v>
      </c>
      <c r="BN12" s="196">
        <v>127179</v>
      </c>
      <c r="BO12" s="197">
        <v>23373</v>
      </c>
      <c r="BP12" s="188">
        <v>1333663</v>
      </c>
      <c r="BQ12" s="189">
        <v>990293</v>
      </c>
      <c r="BR12" s="409">
        <f>BP12-BQ12</f>
        <v>343370</v>
      </c>
      <c r="BS12" s="198">
        <f t="shared" si="9"/>
        <v>13620572</v>
      </c>
      <c r="BT12" s="189">
        <f t="shared" si="10"/>
        <v>10878090</v>
      </c>
      <c r="BU12" s="190">
        <f>D12+G12+J12+M12+P12+S12+V12+Y12+AB12+AE12+AH12+AK12+AN12+AQ12+AT12+AW12+AZ12+BC12+BF12+BI12+BL12+BO12+BR12</f>
        <v>2708636</v>
      </c>
      <c r="BV12" s="188">
        <v>16607716</v>
      </c>
      <c r="BW12" s="189">
        <v>12738733</v>
      </c>
      <c r="BX12" s="197">
        <f t="shared" si="13"/>
        <v>3868983</v>
      </c>
      <c r="BY12" s="198">
        <f t="shared" si="11"/>
        <v>30228288</v>
      </c>
      <c r="BZ12" s="189">
        <f t="shared" si="12"/>
        <v>23616823</v>
      </c>
      <c r="CA12" s="190">
        <f t="shared" si="12"/>
        <v>6577619</v>
      </c>
    </row>
    <row r="13" spans="1:79" ht="16.5">
      <c r="A13" s="347" t="s">
        <v>226</v>
      </c>
      <c r="B13" s="185">
        <v>79487</v>
      </c>
      <c r="C13" s="186">
        <v>47617</v>
      </c>
      <c r="D13" s="187">
        <v>31870</v>
      </c>
      <c r="E13" s="188">
        <v>275</v>
      </c>
      <c r="F13" s="189">
        <v>275</v>
      </c>
      <c r="G13" s="633">
        <f>E13-F13</f>
        <v>0</v>
      </c>
      <c r="H13" s="188">
        <v>1264</v>
      </c>
      <c r="I13" s="189">
        <v>1264</v>
      </c>
      <c r="J13" s="633">
        <f t="shared" si="0"/>
        <v>0</v>
      </c>
      <c r="K13" s="188">
        <v>66092</v>
      </c>
      <c r="L13" s="189">
        <v>27504</v>
      </c>
      <c r="M13" s="194">
        <v>38588</v>
      </c>
      <c r="N13" s="188"/>
      <c r="O13" s="189"/>
      <c r="P13" s="633"/>
      <c r="Q13" s="188">
        <v>5940</v>
      </c>
      <c r="R13" s="189">
        <v>3239</v>
      </c>
      <c r="S13" s="190">
        <f>Q13-R13</f>
        <v>2701</v>
      </c>
      <c r="T13" s="188"/>
      <c r="U13" s="189"/>
      <c r="V13" s="190"/>
      <c r="W13" s="188">
        <v>8232</v>
      </c>
      <c r="X13" s="189">
        <v>7388</v>
      </c>
      <c r="Y13" s="190">
        <f t="shared" si="14"/>
        <v>844</v>
      </c>
      <c r="Z13" s="188">
        <v>16304</v>
      </c>
      <c r="AA13" s="189">
        <v>16304</v>
      </c>
      <c r="AB13" s="633"/>
      <c r="AC13" s="188">
        <v>14188</v>
      </c>
      <c r="AD13" s="189">
        <v>1604</v>
      </c>
      <c r="AE13" s="633">
        <f>AC13-AD13</f>
        <v>12584</v>
      </c>
      <c r="AF13" s="188">
        <v>193617</v>
      </c>
      <c r="AG13" s="189">
        <v>116742</v>
      </c>
      <c r="AH13" s="633">
        <f>AF13-AG13</f>
        <v>76875</v>
      </c>
      <c r="AI13" s="188">
        <v>73972</v>
      </c>
      <c r="AJ13" s="189">
        <v>52816</v>
      </c>
      <c r="AK13" s="633">
        <f t="shared" si="1"/>
        <v>21156</v>
      </c>
      <c r="AL13" s="647">
        <v>25971</v>
      </c>
      <c r="AM13" s="191">
        <v>6407</v>
      </c>
      <c r="AN13" s="638">
        <f t="shared" si="2"/>
        <v>19564</v>
      </c>
      <c r="AO13" s="188">
        <v>31313</v>
      </c>
      <c r="AP13" s="189">
        <v>15144</v>
      </c>
      <c r="AQ13" s="633">
        <f t="shared" si="3"/>
        <v>16169</v>
      </c>
      <c r="AR13" s="188">
        <v>159417</v>
      </c>
      <c r="AS13" s="189">
        <v>97981</v>
      </c>
      <c r="AT13" s="633">
        <f t="shared" si="4"/>
        <v>61436</v>
      </c>
      <c r="AU13" s="188">
        <v>30524</v>
      </c>
      <c r="AV13" s="189">
        <v>23812</v>
      </c>
      <c r="AW13" s="633">
        <f t="shared" si="5"/>
        <v>6712</v>
      </c>
      <c r="AX13" s="188"/>
      <c r="AY13" s="189"/>
      <c r="AZ13" s="633">
        <f t="shared" si="6"/>
        <v>0</v>
      </c>
      <c r="BA13" s="188"/>
      <c r="BB13" s="189"/>
      <c r="BC13" s="633"/>
      <c r="BD13" s="192"/>
      <c r="BE13" s="189"/>
      <c r="BF13" s="206"/>
      <c r="BG13" s="16">
        <v>2495</v>
      </c>
      <c r="BH13" s="17">
        <v>858</v>
      </c>
      <c r="BI13" s="214">
        <f>BG13-BH13</f>
        <v>1637</v>
      </c>
      <c r="BJ13" s="649">
        <v>7482</v>
      </c>
      <c r="BK13" s="196">
        <v>6028</v>
      </c>
      <c r="BL13" s="634">
        <f t="shared" si="8"/>
        <v>1454</v>
      </c>
      <c r="BM13" s="649">
        <v>15099</v>
      </c>
      <c r="BN13" s="196">
        <v>8179</v>
      </c>
      <c r="BO13" s="197">
        <v>9595</v>
      </c>
      <c r="BP13" s="188">
        <v>7892</v>
      </c>
      <c r="BQ13" s="189">
        <v>4113</v>
      </c>
      <c r="BR13" s="409">
        <f>BP13-BQ13</f>
        <v>3779</v>
      </c>
      <c r="BS13" s="198">
        <f t="shared" si="9"/>
        <v>739564</v>
      </c>
      <c r="BT13" s="189">
        <f t="shared" si="10"/>
        <v>437275</v>
      </c>
      <c r="BU13" s="190">
        <f t="shared" si="10"/>
        <v>304964</v>
      </c>
      <c r="BV13" s="188">
        <v>9817351</v>
      </c>
      <c r="BW13" s="189">
        <v>6739498</v>
      </c>
      <c r="BX13" s="197">
        <f t="shared" si="13"/>
        <v>3077853</v>
      </c>
      <c r="BY13" s="198">
        <f t="shared" si="11"/>
        <v>10556915</v>
      </c>
      <c r="BZ13" s="189">
        <f t="shared" si="12"/>
        <v>7176773</v>
      </c>
      <c r="CA13" s="190">
        <f t="shared" si="12"/>
        <v>3382817</v>
      </c>
    </row>
    <row r="14" spans="1:79" ht="16.5">
      <c r="A14" s="347" t="s">
        <v>227</v>
      </c>
      <c r="B14" s="185">
        <v>225561</v>
      </c>
      <c r="C14" s="186">
        <v>192285</v>
      </c>
      <c r="D14" s="187">
        <v>33276</v>
      </c>
      <c r="E14" s="188">
        <v>9983</v>
      </c>
      <c r="F14" s="189">
        <v>9988</v>
      </c>
      <c r="G14" s="633">
        <f>E14-F14</f>
        <v>-5</v>
      </c>
      <c r="H14" s="188">
        <v>69915</v>
      </c>
      <c r="I14" s="189">
        <v>68775</v>
      </c>
      <c r="J14" s="633">
        <f t="shared" si="0"/>
        <v>1140</v>
      </c>
      <c r="K14" s="188">
        <v>123534</v>
      </c>
      <c r="L14" s="189">
        <v>83534</v>
      </c>
      <c r="M14" s="194">
        <v>40000</v>
      </c>
      <c r="N14" s="188">
        <v>122321</v>
      </c>
      <c r="O14" s="189">
        <v>81257</v>
      </c>
      <c r="P14" s="633">
        <f>N14-O14</f>
        <v>41064</v>
      </c>
      <c r="Q14" s="188">
        <v>22520</v>
      </c>
      <c r="R14" s="189">
        <v>16753</v>
      </c>
      <c r="S14" s="190">
        <f>Q14-R14</f>
        <v>5767</v>
      </c>
      <c r="T14" s="188">
        <v>67499</v>
      </c>
      <c r="U14" s="189">
        <v>48336</v>
      </c>
      <c r="V14" s="190">
        <v>19163</v>
      </c>
      <c r="W14" s="188">
        <v>82334</v>
      </c>
      <c r="X14" s="189">
        <v>72736</v>
      </c>
      <c r="Y14" s="190">
        <f t="shared" si="14"/>
        <v>9598</v>
      </c>
      <c r="Z14" s="188">
        <v>214746</v>
      </c>
      <c r="AA14" s="189">
        <v>190966</v>
      </c>
      <c r="AB14" s="633">
        <f>Z14-AA14</f>
        <v>23780</v>
      </c>
      <c r="AC14" s="188">
        <v>91526</v>
      </c>
      <c r="AD14" s="189">
        <v>64511</v>
      </c>
      <c r="AE14" s="633">
        <f>AC14-AD14</f>
        <v>27015</v>
      </c>
      <c r="AF14" s="188">
        <v>612008</v>
      </c>
      <c r="AG14" s="189">
        <v>538426</v>
      </c>
      <c r="AH14" s="633">
        <f>AF14-AG14</f>
        <v>73582</v>
      </c>
      <c r="AI14" s="188">
        <v>541358</v>
      </c>
      <c r="AJ14" s="189">
        <v>442213</v>
      </c>
      <c r="AK14" s="633">
        <f t="shared" si="1"/>
        <v>99145</v>
      </c>
      <c r="AL14" s="647">
        <v>85710</v>
      </c>
      <c r="AM14" s="191">
        <v>71079</v>
      </c>
      <c r="AN14" s="638">
        <f t="shared" si="2"/>
        <v>14631</v>
      </c>
      <c r="AO14" s="188">
        <v>58317</v>
      </c>
      <c r="AP14" s="189">
        <v>47440</v>
      </c>
      <c r="AQ14" s="633">
        <f t="shared" si="3"/>
        <v>10877</v>
      </c>
      <c r="AR14" s="188">
        <v>174078</v>
      </c>
      <c r="AS14" s="189">
        <v>131709</v>
      </c>
      <c r="AT14" s="633">
        <f t="shared" si="4"/>
        <v>42369</v>
      </c>
      <c r="AU14" s="188">
        <v>590387</v>
      </c>
      <c r="AV14" s="189">
        <v>475628</v>
      </c>
      <c r="AW14" s="633">
        <f t="shared" si="5"/>
        <v>114759</v>
      </c>
      <c r="AX14" s="188"/>
      <c r="AY14" s="189"/>
      <c r="AZ14" s="633">
        <f t="shared" si="6"/>
        <v>0</v>
      </c>
      <c r="BA14" s="188">
        <v>226100</v>
      </c>
      <c r="BB14" s="189">
        <v>168475</v>
      </c>
      <c r="BC14" s="633">
        <f>BA14-BB14</f>
        <v>57625</v>
      </c>
      <c r="BD14" s="192"/>
      <c r="BE14" s="189"/>
      <c r="BF14" s="206"/>
      <c r="BG14" s="16">
        <v>857471</v>
      </c>
      <c r="BH14" s="17">
        <v>573821</v>
      </c>
      <c r="BI14" s="214">
        <f t="shared" si="7"/>
        <v>283650</v>
      </c>
      <c r="BJ14" s="649">
        <v>60762</v>
      </c>
      <c r="BK14" s="196">
        <v>30662</v>
      </c>
      <c r="BL14" s="634">
        <f t="shared" si="8"/>
        <v>30100</v>
      </c>
      <c r="BM14" s="649">
        <v>43109</v>
      </c>
      <c r="BN14" s="196">
        <v>34300</v>
      </c>
      <c r="BO14" s="197">
        <v>13505</v>
      </c>
      <c r="BP14" s="188">
        <v>302638</v>
      </c>
      <c r="BQ14" s="189">
        <v>249645</v>
      </c>
      <c r="BR14" s="409">
        <f>BP14-BQ14</f>
        <v>52993</v>
      </c>
      <c r="BS14" s="198">
        <f t="shared" si="9"/>
        <v>4581877</v>
      </c>
      <c r="BT14" s="189">
        <f t="shared" si="10"/>
        <v>3592539</v>
      </c>
      <c r="BU14" s="190">
        <f t="shared" si="10"/>
        <v>994034</v>
      </c>
      <c r="BV14" s="188">
        <v>687956</v>
      </c>
      <c r="BW14" s="189">
        <v>611031</v>
      </c>
      <c r="BX14" s="197">
        <f t="shared" si="13"/>
        <v>76925</v>
      </c>
      <c r="BY14" s="198">
        <f t="shared" si="11"/>
        <v>5269833</v>
      </c>
      <c r="BZ14" s="189">
        <f t="shared" si="12"/>
        <v>4203570</v>
      </c>
      <c r="CA14" s="190">
        <f t="shared" si="12"/>
        <v>1070959</v>
      </c>
    </row>
    <row r="15" spans="1:79" ht="16.5">
      <c r="A15" s="347" t="s">
        <v>228</v>
      </c>
      <c r="B15" s="185">
        <v>368389</v>
      </c>
      <c r="C15" s="186">
        <v>329945</v>
      </c>
      <c r="D15" s="187">
        <v>38444</v>
      </c>
      <c r="E15" s="188">
        <v>8078</v>
      </c>
      <c r="F15" s="189">
        <v>8077</v>
      </c>
      <c r="G15" s="633">
        <f>E15-F15</f>
        <v>1</v>
      </c>
      <c r="H15" s="188">
        <v>291901</v>
      </c>
      <c r="I15" s="189">
        <v>277250</v>
      </c>
      <c r="J15" s="633">
        <f t="shared" si="0"/>
        <v>14651</v>
      </c>
      <c r="K15" s="188"/>
      <c r="L15" s="189"/>
      <c r="M15" s="194"/>
      <c r="N15" s="188">
        <v>137238</v>
      </c>
      <c r="O15" s="189">
        <v>133032</v>
      </c>
      <c r="P15" s="633">
        <f>N15-O15</f>
        <v>4206</v>
      </c>
      <c r="Q15" s="188">
        <v>49664</v>
      </c>
      <c r="R15" s="189">
        <v>34268</v>
      </c>
      <c r="S15" s="190">
        <f>Q15-R15</f>
        <v>15396</v>
      </c>
      <c r="T15" s="188">
        <v>244395</v>
      </c>
      <c r="U15" s="189">
        <v>150825</v>
      </c>
      <c r="V15" s="190">
        <v>93471</v>
      </c>
      <c r="W15" s="188">
        <v>155672</v>
      </c>
      <c r="X15" s="189">
        <v>106508</v>
      </c>
      <c r="Y15" s="190">
        <f t="shared" si="14"/>
        <v>49164</v>
      </c>
      <c r="Z15" s="188">
        <v>641454</v>
      </c>
      <c r="AA15" s="189">
        <v>535808</v>
      </c>
      <c r="AB15" s="633">
        <f>Z15-AA15</f>
        <v>105646</v>
      </c>
      <c r="AC15" s="188">
        <v>166198</v>
      </c>
      <c r="AD15" s="189">
        <v>76776</v>
      </c>
      <c r="AE15" s="633">
        <f>AC15-AD15</f>
        <v>89422</v>
      </c>
      <c r="AF15" s="188">
        <v>19972</v>
      </c>
      <c r="AG15" s="189">
        <v>18670</v>
      </c>
      <c r="AH15" s="633">
        <f>AF15-AG15</f>
        <v>1302</v>
      </c>
      <c r="AI15" s="188">
        <v>1473340</v>
      </c>
      <c r="AJ15" s="189">
        <v>1156550</v>
      </c>
      <c r="AK15" s="633">
        <f t="shared" si="1"/>
        <v>316790</v>
      </c>
      <c r="AL15" s="647">
        <v>22766</v>
      </c>
      <c r="AM15" s="191">
        <v>20924</v>
      </c>
      <c r="AN15" s="638">
        <f t="shared" si="2"/>
        <v>1842</v>
      </c>
      <c r="AO15" s="188">
        <v>199294</v>
      </c>
      <c r="AP15" s="189">
        <v>105108</v>
      </c>
      <c r="AQ15" s="633">
        <f t="shared" si="3"/>
        <v>94186</v>
      </c>
      <c r="AR15" s="188"/>
      <c r="AS15" s="189"/>
      <c r="AT15" s="633"/>
      <c r="AU15" s="188">
        <v>1476934</v>
      </c>
      <c r="AV15" s="189">
        <v>1106685</v>
      </c>
      <c r="AW15" s="633">
        <f t="shared" si="5"/>
        <v>370249</v>
      </c>
      <c r="AX15" s="188"/>
      <c r="AY15" s="189"/>
      <c r="AZ15" s="633">
        <f t="shared" si="6"/>
        <v>0</v>
      </c>
      <c r="BA15" s="188"/>
      <c r="BB15" s="189"/>
      <c r="BC15" s="633"/>
      <c r="BD15" s="192"/>
      <c r="BE15" s="189"/>
      <c r="BF15" s="206"/>
      <c r="BG15" s="16">
        <v>1365795</v>
      </c>
      <c r="BH15" s="17">
        <v>534915</v>
      </c>
      <c r="BI15" s="214">
        <f t="shared" si="7"/>
        <v>830880</v>
      </c>
      <c r="BJ15" s="649"/>
      <c r="BK15" s="196"/>
      <c r="BL15" s="634"/>
      <c r="BM15" s="649"/>
      <c r="BN15" s="196"/>
      <c r="BO15" s="197"/>
      <c r="BP15" s="188">
        <v>705358</v>
      </c>
      <c r="BQ15" s="189">
        <v>619118</v>
      </c>
      <c r="BR15" s="409">
        <f>BP15-BQ15</f>
        <v>86240</v>
      </c>
      <c r="BS15" s="198">
        <f t="shared" si="9"/>
        <v>7326448</v>
      </c>
      <c r="BT15" s="189">
        <f t="shared" si="10"/>
        <v>5214459</v>
      </c>
      <c r="BU15" s="190">
        <f t="shared" si="10"/>
        <v>2111890</v>
      </c>
      <c r="BV15" s="188"/>
      <c r="BW15" s="189"/>
      <c r="BX15" s="197"/>
      <c r="BY15" s="198">
        <f t="shared" si="11"/>
        <v>7326448</v>
      </c>
      <c r="BZ15" s="189">
        <f t="shared" si="12"/>
        <v>5214459</v>
      </c>
      <c r="CA15" s="190">
        <f t="shared" si="12"/>
        <v>2111890</v>
      </c>
    </row>
    <row r="16" spans="1:79" ht="16.5">
      <c r="A16" s="347" t="s">
        <v>229</v>
      </c>
      <c r="B16" s="185"/>
      <c r="C16" s="186"/>
      <c r="D16" s="187"/>
      <c r="E16" s="188"/>
      <c r="F16" s="189"/>
      <c r="G16" s="633"/>
      <c r="H16" s="188"/>
      <c r="I16" s="189"/>
      <c r="J16" s="633">
        <f t="shared" si="0"/>
        <v>0</v>
      </c>
      <c r="K16" s="188"/>
      <c r="L16" s="189"/>
      <c r="M16" s="194"/>
      <c r="N16" s="188"/>
      <c r="O16" s="189"/>
      <c r="P16" s="633"/>
      <c r="Q16" s="188"/>
      <c r="R16" s="189"/>
      <c r="S16" s="190"/>
      <c r="T16" s="198"/>
      <c r="U16" s="189"/>
      <c r="V16" s="190"/>
      <c r="W16" s="188"/>
      <c r="X16" s="189"/>
      <c r="Y16" s="190"/>
      <c r="Z16" s="188"/>
      <c r="AA16" s="189"/>
      <c r="AB16" s="633"/>
      <c r="AC16" s="188"/>
      <c r="AD16" s="189"/>
      <c r="AE16" s="633"/>
      <c r="AF16" s="188"/>
      <c r="AG16" s="189"/>
      <c r="AH16" s="633"/>
      <c r="AI16" s="188"/>
      <c r="AJ16" s="189"/>
      <c r="AK16" s="633">
        <f t="shared" si="1"/>
        <v>0</v>
      </c>
      <c r="AL16" s="647"/>
      <c r="AM16" s="191"/>
      <c r="AN16" s="638"/>
      <c r="AO16" s="188"/>
      <c r="AP16" s="189"/>
      <c r="AQ16" s="633"/>
      <c r="AR16" s="453"/>
      <c r="AS16" s="454"/>
      <c r="AT16" s="633"/>
      <c r="AU16" s="188"/>
      <c r="AV16" s="189"/>
      <c r="AW16" s="633"/>
      <c r="AX16" s="188"/>
      <c r="AY16" s="189"/>
      <c r="AZ16" s="633">
        <f t="shared" si="6"/>
        <v>0</v>
      </c>
      <c r="BA16" s="188"/>
      <c r="BB16" s="189"/>
      <c r="BC16" s="633"/>
      <c r="BD16" s="192"/>
      <c r="BE16" s="189"/>
      <c r="BF16" s="206"/>
      <c r="BG16" s="16">
        <v>407342</v>
      </c>
      <c r="BH16" s="17">
        <v>323940</v>
      </c>
      <c r="BI16" s="214">
        <f t="shared" si="7"/>
        <v>83402</v>
      </c>
      <c r="BJ16" s="649"/>
      <c r="BK16" s="196"/>
      <c r="BL16" s="634"/>
      <c r="BM16" s="649">
        <v>269024</v>
      </c>
      <c r="BN16" s="196">
        <v>207668</v>
      </c>
      <c r="BO16" s="197">
        <v>33057</v>
      </c>
      <c r="BP16" s="188"/>
      <c r="BQ16" s="189"/>
      <c r="BR16" s="409"/>
      <c r="BS16" s="198">
        <f t="shared" si="9"/>
        <v>676366</v>
      </c>
      <c r="BT16" s="189">
        <f t="shared" si="10"/>
        <v>531608</v>
      </c>
      <c r="BU16" s="190">
        <f t="shared" si="10"/>
        <v>116459</v>
      </c>
      <c r="BV16" s="188"/>
      <c r="BW16" s="189"/>
      <c r="BX16" s="197"/>
      <c r="BY16" s="198">
        <f t="shared" si="11"/>
        <v>676366</v>
      </c>
      <c r="BZ16" s="189">
        <f t="shared" si="12"/>
        <v>531608</v>
      </c>
      <c r="CA16" s="190">
        <f t="shared" si="12"/>
        <v>116459</v>
      </c>
    </row>
    <row r="17" spans="1:79" ht="16.5">
      <c r="A17" s="347" t="s">
        <v>230</v>
      </c>
      <c r="B17" s="185"/>
      <c r="C17" s="186"/>
      <c r="D17" s="187"/>
      <c r="E17" s="188"/>
      <c r="F17" s="189"/>
      <c r="G17" s="633"/>
      <c r="H17" s="188"/>
      <c r="I17" s="189"/>
      <c r="J17" s="633">
        <f t="shared" si="0"/>
        <v>0</v>
      </c>
      <c r="K17" s="188">
        <v>19282</v>
      </c>
      <c r="L17" s="189">
        <v>18619</v>
      </c>
      <c r="M17" s="194">
        <v>663</v>
      </c>
      <c r="N17" s="188"/>
      <c r="O17" s="189"/>
      <c r="P17" s="633"/>
      <c r="Q17" s="188"/>
      <c r="R17" s="189"/>
      <c r="S17" s="190"/>
      <c r="T17" s="198"/>
      <c r="U17" s="189"/>
      <c r="V17" s="190"/>
      <c r="W17" s="188"/>
      <c r="X17" s="189"/>
      <c r="Y17" s="190"/>
      <c r="Z17" s="188"/>
      <c r="AA17" s="189"/>
      <c r="AB17" s="633"/>
      <c r="AC17" s="188"/>
      <c r="AD17" s="189"/>
      <c r="AE17" s="633"/>
      <c r="AF17" s="188"/>
      <c r="AG17" s="189"/>
      <c r="AH17" s="633"/>
      <c r="AI17" s="188"/>
      <c r="AJ17" s="189"/>
      <c r="AK17" s="633">
        <f t="shared" si="1"/>
        <v>0</v>
      </c>
      <c r="AL17" s="647">
        <v>15597</v>
      </c>
      <c r="AM17" s="191">
        <v>6549</v>
      </c>
      <c r="AN17" s="638">
        <f t="shared" si="2"/>
        <v>9048</v>
      </c>
      <c r="AO17" s="188"/>
      <c r="AP17" s="189"/>
      <c r="AQ17" s="633"/>
      <c r="AR17" s="453"/>
      <c r="AS17" s="454"/>
      <c r="AT17" s="633"/>
      <c r="AU17" s="188"/>
      <c r="AV17" s="189"/>
      <c r="AW17" s="633"/>
      <c r="AX17" s="188"/>
      <c r="AY17" s="189"/>
      <c r="AZ17" s="633">
        <f t="shared" si="6"/>
        <v>0</v>
      </c>
      <c r="BA17" s="188"/>
      <c r="BB17" s="189"/>
      <c r="BC17" s="633"/>
      <c r="BD17" s="192"/>
      <c r="BE17" s="189"/>
      <c r="BF17" s="206"/>
      <c r="BG17" s="16"/>
      <c r="BH17" s="17"/>
      <c r="BI17" s="214"/>
      <c r="BJ17" s="649">
        <v>85716</v>
      </c>
      <c r="BK17" s="196">
        <v>42592</v>
      </c>
      <c r="BL17" s="634">
        <f t="shared" si="8"/>
        <v>43124</v>
      </c>
      <c r="BM17" s="649"/>
      <c r="BN17" s="196"/>
      <c r="BO17" s="197"/>
      <c r="BP17" s="188"/>
      <c r="BQ17" s="189"/>
      <c r="BR17" s="409"/>
      <c r="BS17" s="198">
        <f t="shared" si="9"/>
        <v>120595</v>
      </c>
      <c r="BT17" s="189">
        <f t="shared" si="10"/>
        <v>67760</v>
      </c>
      <c r="BU17" s="190">
        <f t="shared" si="10"/>
        <v>52835</v>
      </c>
      <c r="BV17" s="188"/>
      <c r="BW17" s="189"/>
      <c r="BX17" s="197"/>
      <c r="BY17" s="198">
        <f t="shared" si="11"/>
        <v>120595</v>
      </c>
      <c r="BZ17" s="189">
        <f t="shared" si="12"/>
        <v>67760</v>
      </c>
      <c r="CA17" s="190">
        <f t="shared" si="12"/>
        <v>52835</v>
      </c>
    </row>
    <row r="18" spans="1:79" ht="16.5">
      <c r="A18" s="347" t="s">
        <v>231</v>
      </c>
      <c r="B18" s="185"/>
      <c r="C18" s="186"/>
      <c r="D18" s="187"/>
      <c r="E18" s="188"/>
      <c r="F18" s="189"/>
      <c r="G18" s="633"/>
      <c r="H18" s="188"/>
      <c r="I18" s="189"/>
      <c r="J18" s="633">
        <f t="shared" si="0"/>
        <v>0</v>
      </c>
      <c r="K18" s="188">
        <v>155097</v>
      </c>
      <c r="L18" s="189">
        <v>99648</v>
      </c>
      <c r="M18" s="194">
        <v>55449</v>
      </c>
      <c r="N18" s="188"/>
      <c r="O18" s="189"/>
      <c r="P18" s="633"/>
      <c r="Q18" s="188"/>
      <c r="R18" s="189"/>
      <c r="S18" s="190"/>
      <c r="T18" s="198"/>
      <c r="U18" s="189"/>
      <c r="V18" s="190"/>
      <c r="W18" s="188"/>
      <c r="X18" s="189"/>
      <c r="Y18" s="190"/>
      <c r="Z18" s="188"/>
      <c r="AA18" s="189"/>
      <c r="AB18" s="633"/>
      <c r="AC18" s="188"/>
      <c r="AD18" s="189"/>
      <c r="AE18" s="633"/>
      <c r="AF18" s="188"/>
      <c r="AG18" s="189"/>
      <c r="AH18" s="633"/>
      <c r="AI18" s="188"/>
      <c r="AJ18" s="189"/>
      <c r="AK18" s="633">
        <f t="shared" si="1"/>
        <v>0</v>
      </c>
      <c r="AL18" s="647"/>
      <c r="AM18" s="191"/>
      <c r="AN18" s="638"/>
      <c r="AO18" s="188"/>
      <c r="AP18" s="189"/>
      <c r="AQ18" s="633"/>
      <c r="AR18" s="453"/>
      <c r="AS18" s="454"/>
      <c r="AT18" s="633"/>
      <c r="AU18" s="188"/>
      <c r="AV18" s="189"/>
      <c r="AW18" s="633"/>
      <c r="AX18" s="188"/>
      <c r="AY18" s="189"/>
      <c r="AZ18" s="633">
        <f t="shared" si="6"/>
        <v>0</v>
      </c>
      <c r="BA18" s="188"/>
      <c r="BB18" s="189"/>
      <c r="BC18" s="633"/>
      <c r="BD18" s="192"/>
      <c r="BE18" s="189"/>
      <c r="BF18" s="206"/>
      <c r="BG18" s="16"/>
      <c r="BH18" s="17"/>
      <c r="BI18" s="214"/>
      <c r="BJ18" s="649"/>
      <c r="BK18" s="196"/>
      <c r="BL18" s="634"/>
      <c r="BM18" s="649">
        <v>18330</v>
      </c>
      <c r="BN18" s="196">
        <v>7977</v>
      </c>
      <c r="BO18" s="197">
        <v>11067</v>
      </c>
      <c r="BP18" s="188"/>
      <c r="BQ18" s="189"/>
      <c r="BR18" s="409"/>
      <c r="BS18" s="198">
        <f t="shared" si="9"/>
        <v>173427</v>
      </c>
      <c r="BT18" s="189">
        <f t="shared" si="10"/>
        <v>107625</v>
      </c>
      <c r="BU18" s="190">
        <f t="shared" si="10"/>
        <v>66516</v>
      </c>
      <c r="BV18" s="188"/>
      <c r="BW18" s="189"/>
      <c r="BX18" s="197"/>
      <c r="BY18" s="198">
        <f t="shared" si="11"/>
        <v>173427</v>
      </c>
      <c r="BZ18" s="189">
        <f t="shared" si="12"/>
        <v>107625</v>
      </c>
      <c r="CA18" s="190">
        <f t="shared" si="12"/>
        <v>66516</v>
      </c>
    </row>
    <row r="19" spans="1:79" ht="16.5">
      <c r="A19" s="347" t="s">
        <v>232</v>
      </c>
      <c r="B19" s="185"/>
      <c r="C19" s="186"/>
      <c r="D19" s="187"/>
      <c r="E19" s="188"/>
      <c r="F19" s="189"/>
      <c r="G19" s="633"/>
      <c r="H19" s="188"/>
      <c r="I19" s="189"/>
      <c r="J19" s="633">
        <f t="shared" si="0"/>
        <v>0</v>
      </c>
      <c r="K19" s="188">
        <v>7823</v>
      </c>
      <c r="L19" s="189">
        <v>6171</v>
      </c>
      <c r="M19" s="194">
        <v>1652</v>
      </c>
      <c r="N19" s="188"/>
      <c r="O19" s="189"/>
      <c r="P19" s="633"/>
      <c r="Q19" s="188"/>
      <c r="R19" s="189"/>
      <c r="S19" s="190"/>
      <c r="T19" s="198"/>
      <c r="U19" s="189"/>
      <c r="V19" s="190"/>
      <c r="W19" s="188"/>
      <c r="X19" s="189"/>
      <c r="Y19" s="190"/>
      <c r="Z19" s="188"/>
      <c r="AA19" s="189"/>
      <c r="AB19" s="633"/>
      <c r="AC19" s="188"/>
      <c r="AD19" s="189"/>
      <c r="AE19" s="633"/>
      <c r="AF19" s="188"/>
      <c r="AG19" s="189"/>
      <c r="AH19" s="633"/>
      <c r="AI19" s="188"/>
      <c r="AJ19" s="189"/>
      <c r="AK19" s="633">
        <f t="shared" si="1"/>
        <v>0</v>
      </c>
      <c r="AL19" s="647"/>
      <c r="AM19" s="191"/>
      <c r="AN19" s="638"/>
      <c r="AO19" s="188"/>
      <c r="AP19" s="189"/>
      <c r="AQ19" s="633"/>
      <c r="AR19" s="453"/>
      <c r="AS19" s="454"/>
      <c r="AT19" s="633"/>
      <c r="AU19" s="188"/>
      <c r="AV19" s="189"/>
      <c r="AW19" s="633"/>
      <c r="AX19" s="188"/>
      <c r="AY19" s="189"/>
      <c r="AZ19" s="633">
        <f t="shared" si="6"/>
        <v>0</v>
      </c>
      <c r="BA19" s="188"/>
      <c r="BB19" s="189"/>
      <c r="BC19" s="633"/>
      <c r="BD19" s="192"/>
      <c r="BE19" s="189"/>
      <c r="BF19" s="206"/>
      <c r="BG19" s="16"/>
      <c r="BH19" s="17"/>
      <c r="BI19" s="214"/>
      <c r="BJ19" s="649"/>
      <c r="BK19" s="196"/>
      <c r="BL19" s="634"/>
      <c r="BM19" s="649"/>
      <c r="BN19" s="196"/>
      <c r="BO19" s="197"/>
      <c r="BP19" s="188"/>
      <c r="BQ19" s="189"/>
      <c r="BR19" s="409"/>
      <c r="BS19" s="198">
        <f t="shared" si="9"/>
        <v>7823</v>
      </c>
      <c r="BT19" s="189">
        <f t="shared" si="10"/>
        <v>6171</v>
      </c>
      <c r="BU19" s="190">
        <f t="shared" si="10"/>
        <v>1652</v>
      </c>
      <c r="BV19" s="188">
        <v>5152</v>
      </c>
      <c r="BW19" s="189">
        <v>3806</v>
      </c>
      <c r="BX19" s="197">
        <f t="shared" si="13"/>
        <v>1346</v>
      </c>
      <c r="BY19" s="198">
        <f t="shared" si="11"/>
        <v>12975</v>
      </c>
      <c r="BZ19" s="189">
        <f t="shared" si="12"/>
        <v>9977</v>
      </c>
      <c r="CA19" s="190">
        <f t="shared" si="12"/>
        <v>2998</v>
      </c>
    </row>
    <row r="20" spans="1:79" ht="16.5">
      <c r="A20" s="347" t="s">
        <v>74</v>
      </c>
      <c r="B20" s="185"/>
      <c r="C20" s="186"/>
      <c r="D20" s="187"/>
      <c r="E20" s="188"/>
      <c r="F20" s="189"/>
      <c r="G20" s="633"/>
      <c r="H20" s="188"/>
      <c r="I20" s="189"/>
      <c r="J20" s="633">
        <f t="shared" si="0"/>
        <v>0</v>
      </c>
      <c r="K20" s="188"/>
      <c r="L20" s="189"/>
      <c r="M20" s="194"/>
      <c r="N20" s="188"/>
      <c r="O20" s="189"/>
      <c r="P20" s="633"/>
      <c r="Q20" s="188">
        <v>16861</v>
      </c>
      <c r="R20" s="189">
        <v>12818</v>
      </c>
      <c r="S20" s="190">
        <f>Q20-R20</f>
        <v>4043</v>
      </c>
      <c r="T20" s="198"/>
      <c r="U20" s="189"/>
      <c r="V20" s="190"/>
      <c r="W20" s="188"/>
      <c r="X20" s="189"/>
      <c r="Y20" s="190"/>
      <c r="Z20" s="188"/>
      <c r="AA20" s="189"/>
      <c r="AB20" s="633"/>
      <c r="AC20" s="188"/>
      <c r="AD20" s="189"/>
      <c r="AE20" s="633"/>
      <c r="AF20" s="188"/>
      <c r="AG20" s="189"/>
      <c r="AH20" s="633"/>
      <c r="AI20" s="188">
        <v>1289186</v>
      </c>
      <c r="AJ20" s="189">
        <v>709306</v>
      </c>
      <c r="AK20" s="633">
        <f t="shared" si="1"/>
        <v>579880</v>
      </c>
      <c r="AL20" s="647">
        <v>89</v>
      </c>
      <c r="AM20" s="191"/>
      <c r="AN20" s="638">
        <f t="shared" si="2"/>
        <v>89</v>
      </c>
      <c r="AO20" s="188"/>
      <c r="AP20" s="189"/>
      <c r="AQ20" s="633"/>
      <c r="AR20" s="453"/>
      <c r="AS20" s="454"/>
      <c r="AT20" s="633"/>
      <c r="AU20" s="188"/>
      <c r="AV20" s="189"/>
      <c r="AW20" s="633"/>
      <c r="AX20" s="188"/>
      <c r="AY20" s="189"/>
      <c r="AZ20" s="633">
        <f t="shared" si="6"/>
        <v>0</v>
      </c>
      <c r="BA20" s="188"/>
      <c r="BB20" s="189"/>
      <c r="BC20" s="633"/>
      <c r="BD20" s="192"/>
      <c r="BE20" s="189"/>
      <c r="BF20" s="206"/>
      <c r="BG20" s="16"/>
      <c r="BH20" s="17"/>
      <c r="BI20" s="214"/>
      <c r="BJ20" s="649"/>
      <c r="BK20" s="196"/>
      <c r="BL20" s="634"/>
      <c r="BM20" s="649"/>
      <c r="BN20" s="196"/>
      <c r="BO20" s="197"/>
      <c r="BP20" s="188"/>
      <c r="BQ20" s="189"/>
      <c r="BR20" s="409"/>
      <c r="BS20" s="198">
        <f t="shared" si="9"/>
        <v>1306136</v>
      </c>
      <c r="BT20" s="189">
        <f t="shared" si="10"/>
        <v>722124</v>
      </c>
      <c r="BU20" s="190">
        <f t="shared" si="10"/>
        <v>584012</v>
      </c>
      <c r="BV20" s="188">
        <f>145915+25329+3075+584780+779119+674+1531772+19404</f>
        <v>3090068</v>
      </c>
      <c r="BW20" s="189">
        <f>128584+25135+2997+419925+654768+654+1386312+19138</f>
        <v>2637513</v>
      </c>
      <c r="BX20" s="197">
        <f t="shared" si="13"/>
        <v>452555</v>
      </c>
      <c r="BY20" s="198">
        <f t="shared" si="11"/>
        <v>4396204</v>
      </c>
      <c r="BZ20" s="189">
        <f t="shared" si="12"/>
        <v>3359637</v>
      </c>
      <c r="CA20" s="190">
        <f t="shared" si="12"/>
        <v>1036567</v>
      </c>
    </row>
    <row r="21" spans="1:79" s="1541" customFormat="1" ht="13.5">
      <c r="A21" s="851" t="s">
        <v>54</v>
      </c>
      <c r="B21" s="852">
        <f>SUM(B5:B20)</f>
        <v>4209733</v>
      </c>
      <c r="C21" s="852">
        <f aca="true" t="shared" si="15" ref="C21:J21">SUM(C5:C20)</f>
        <v>3350338</v>
      </c>
      <c r="D21" s="852">
        <f t="shared" si="15"/>
        <v>859595</v>
      </c>
      <c r="E21" s="852">
        <f t="shared" si="15"/>
        <v>2288404</v>
      </c>
      <c r="F21" s="852">
        <f t="shared" si="15"/>
        <v>1408180</v>
      </c>
      <c r="G21" s="852">
        <f t="shared" si="15"/>
        <v>880224</v>
      </c>
      <c r="H21" s="852">
        <f t="shared" si="15"/>
        <v>1637614</v>
      </c>
      <c r="I21" s="852">
        <f t="shared" si="15"/>
        <v>1498661</v>
      </c>
      <c r="J21" s="852">
        <f t="shared" si="15"/>
        <v>138953</v>
      </c>
      <c r="K21" s="852">
        <f aca="true" t="shared" si="16" ref="K21:AP21">SUM(K5:K20)</f>
        <v>5374235</v>
      </c>
      <c r="L21" s="852">
        <f t="shared" si="16"/>
        <v>2204815</v>
      </c>
      <c r="M21" s="852">
        <f t="shared" si="16"/>
        <v>3169420</v>
      </c>
      <c r="N21" s="852">
        <f t="shared" si="16"/>
        <v>1078948</v>
      </c>
      <c r="O21" s="852">
        <f t="shared" si="16"/>
        <v>882320</v>
      </c>
      <c r="P21" s="852">
        <f t="shared" si="16"/>
        <v>196628</v>
      </c>
      <c r="Q21" s="852">
        <f t="shared" si="16"/>
        <v>1745924</v>
      </c>
      <c r="R21" s="852">
        <f t="shared" si="16"/>
        <v>1375839</v>
      </c>
      <c r="S21" s="852">
        <f t="shared" si="16"/>
        <v>370085</v>
      </c>
      <c r="T21" s="852">
        <f t="shared" si="16"/>
        <v>1269948</v>
      </c>
      <c r="U21" s="852">
        <f t="shared" si="16"/>
        <v>1037659</v>
      </c>
      <c r="V21" s="852">
        <f t="shared" si="16"/>
        <v>232190</v>
      </c>
      <c r="W21" s="852">
        <f t="shared" si="16"/>
        <v>2133562</v>
      </c>
      <c r="X21" s="852">
        <f t="shared" si="16"/>
        <v>1217624</v>
      </c>
      <c r="Y21" s="852">
        <f t="shared" si="16"/>
        <v>875938</v>
      </c>
      <c r="Z21" s="852">
        <f t="shared" si="16"/>
        <v>1957408</v>
      </c>
      <c r="AA21" s="852">
        <f t="shared" si="16"/>
        <v>1646121</v>
      </c>
      <c r="AB21" s="852">
        <f t="shared" si="16"/>
        <v>311287</v>
      </c>
      <c r="AC21" s="852">
        <f t="shared" si="16"/>
        <v>1760918</v>
      </c>
      <c r="AD21" s="852">
        <f t="shared" si="16"/>
        <v>1038618</v>
      </c>
      <c r="AE21" s="852">
        <f t="shared" si="16"/>
        <v>722300</v>
      </c>
      <c r="AF21" s="852">
        <f t="shared" si="16"/>
        <v>7963285</v>
      </c>
      <c r="AG21" s="852">
        <f t="shared" si="16"/>
        <v>4695733</v>
      </c>
      <c r="AH21" s="852">
        <f t="shared" si="16"/>
        <v>3267552</v>
      </c>
      <c r="AI21" s="852">
        <f t="shared" si="16"/>
        <v>8800500</v>
      </c>
      <c r="AJ21" s="852">
        <f t="shared" si="16"/>
        <v>4444306</v>
      </c>
      <c r="AK21" s="852">
        <f t="shared" si="16"/>
        <v>4356194</v>
      </c>
      <c r="AL21" s="852">
        <f t="shared" si="16"/>
        <v>2186229</v>
      </c>
      <c r="AM21" s="852">
        <f t="shared" si="16"/>
        <v>900728</v>
      </c>
      <c r="AN21" s="852">
        <f t="shared" si="16"/>
        <v>1285501</v>
      </c>
      <c r="AO21" s="852">
        <f t="shared" si="16"/>
        <v>1334688</v>
      </c>
      <c r="AP21" s="852">
        <f t="shared" si="16"/>
        <v>1068906</v>
      </c>
      <c r="AQ21" s="852">
        <f aca="true" t="shared" si="17" ref="AQ21:BV21">SUM(AQ5:AQ20)</f>
        <v>265782</v>
      </c>
      <c r="AR21" s="852">
        <f t="shared" si="17"/>
        <v>3796385</v>
      </c>
      <c r="AS21" s="852">
        <f t="shared" si="17"/>
        <v>3126686</v>
      </c>
      <c r="AT21" s="852">
        <f t="shared" si="17"/>
        <v>669699</v>
      </c>
      <c r="AU21" s="852">
        <f t="shared" si="17"/>
        <v>9214057</v>
      </c>
      <c r="AV21" s="852">
        <f t="shared" si="17"/>
        <v>7226578</v>
      </c>
      <c r="AW21" s="852">
        <f t="shared" si="17"/>
        <v>1987479</v>
      </c>
      <c r="AX21" s="852">
        <f t="shared" si="17"/>
        <v>0</v>
      </c>
      <c r="AY21" s="852">
        <f t="shared" si="17"/>
        <v>0</v>
      </c>
      <c r="AZ21" s="852">
        <f t="shared" si="17"/>
        <v>0</v>
      </c>
      <c r="BA21" s="852">
        <f t="shared" si="17"/>
        <v>2264212</v>
      </c>
      <c r="BB21" s="852">
        <f t="shared" si="17"/>
        <v>1723113</v>
      </c>
      <c r="BC21" s="852">
        <f t="shared" si="17"/>
        <v>541099</v>
      </c>
      <c r="BD21" s="852">
        <f t="shared" si="17"/>
        <v>0</v>
      </c>
      <c r="BE21" s="852">
        <f t="shared" si="17"/>
        <v>0</v>
      </c>
      <c r="BF21" s="852">
        <f t="shared" si="17"/>
        <v>0</v>
      </c>
      <c r="BG21" s="852">
        <f t="shared" si="17"/>
        <v>11794316</v>
      </c>
      <c r="BH21" s="852">
        <f t="shared" si="17"/>
        <v>6154885</v>
      </c>
      <c r="BI21" s="852">
        <f t="shared" si="17"/>
        <v>5639431</v>
      </c>
      <c r="BJ21" s="852">
        <f t="shared" si="17"/>
        <v>1451848</v>
      </c>
      <c r="BK21" s="852">
        <f t="shared" si="17"/>
        <v>839476</v>
      </c>
      <c r="BL21" s="852">
        <f t="shared" si="17"/>
        <v>612372</v>
      </c>
      <c r="BM21" s="852">
        <f t="shared" si="17"/>
        <v>1312990</v>
      </c>
      <c r="BN21" s="852">
        <f t="shared" si="17"/>
        <v>1069282</v>
      </c>
      <c r="BO21" s="852">
        <f t="shared" si="17"/>
        <v>197288</v>
      </c>
      <c r="BP21" s="852">
        <f t="shared" si="17"/>
        <v>5710791</v>
      </c>
      <c r="BQ21" s="852">
        <f t="shared" si="17"/>
        <v>3835750</v>
      </c>
      <c r="BR21" s="1542">
        <f t="shared" si="17"/>
        <v>1875041</v>
      </c>
      <c r="BS21" s="852">
        <f t="shared" si="17"/>
        <v>79285995</v>
      </c>
      <c r="BT21" s="852">
        <f t="shared" si="17"/>
        <v>50745618</v>
      </c>
      <c r="BU21" s="1543">
        <f t="shared" si="17"/>
        <v>28454058</v>
      </c>
      <c r="BV21" s="852">
        <f t="shared" si="17"/>
        <v>68271582</v>
      </c>
      <c r="BW21" s="852">
        <f>SUM(BW5:BW20)</f>
        <v>35218273</v>
      </c>
      <c r="BX21" s="852">
        <f>SUM(BX5:BX20)</f>
        <v>33053309</v>
      </c>
      <c r="BY21" s="852">
        <f>SUM(BY5:BY20)</f>
        <v>147557577</v>
      </c>
      <c r="BZ21" s="852">
        <f>SUM(BZ5:BZ20)</f>
        <v>85963891</v>
      </c>
      <c r="CA21" s="852">
        <f>SUM(CA5:CA20)</f>
        <v>61507367</v>
      </c>
    </row>
    <row r="22" spans="1:79" ht="16.5">
      <c r="A22" s="347" t="s">
        <v>233</v>
      </c>
      <c r="B22" s="650"/>
      <c r="C22" s="205"/>
      <c r="D22" s="206">
        <v>111150</v>
      </c>
      <c r="E22" s="204">
        <v>98546</v>
      </c>
      <c r="F22" s="205"/>
      <c r="G22" s="206">
        <f>E22</f>
        <v>98546</v>
      </c>
      <c r="H22" s="204">
        <v>2160</v>
      </c>
      <c r="I22" s="205"/>
      <c r="J22" s="206">
        <v>2160</v>
      </c>
      <c r="K22" s="204">
        <v>477817</v>
      </c>
      <c r="L22" s="205"/>
      <c r="M22" s="194">
        <v>477817</v>
      </c>
      <c r="N22" s="204"/>
      <c r="O22" s="205"/>
      <c r="P22" s="206">
        <v>11268</v>
      </c>
      <c r="Q22" s="204">
        <v>72639</v>
      </c>
      <c r="R22" s="205"/>
      <c r="S22" s="206">
        <f>Q22</f>
        <v>72639</v>
      </c>
      <c r="T22" s="650"/>
      <c r="U22" s="205"/>
      <c r="V22" s="206">
        <v>33994</v>
      </c>
      <c r="W22" s="204">
        <v>48673</v>
      </c>
      <c r="X22" s="205"/>
      <c r="Y22" s="206">
        <v>48673</v>
      </c>
      <c r="Z22" s="204"/>
      <c r="AA22" s="205"/>
      <c r="AB22" s="206">
        <v>7067</v>
      </c>
      <c r="AC22" s="204"/>
      <c r="AD22" s="205"/>
      <c r="AE22" s="206">
        <v>70681</v>
      </c>
      <c r="AF22" s="204">
        <v>133936</v>
      </c>
      <c r="AG22" s="205"/>
      <c r="AH22" s="206">
        <f>AF22</f>
        <v>133936</v>
      </c>
      <c r="AI22" s="204"/>
      <c r="AJ22" s="205"/>
      <c r="AK22" s="206">
        <v>217273</v>
      </c>
      <c r="AL22" s="204"/>
      <c r="AM22" s="205"/>
      <c r="AN22" s="206"/>
      <c r="AO22" s="204">
        <v>8363</v>
      </c>
      <c r="AP22" s="205"/>
      <c r="AQ22" s="206">
        <v>8363</v>
      </c>
      <c r="AR22" s="204"/>
      <c r="AS22" s="205"/>
      <c r="AT22" s="206">
        <v>174782</v>
      </c>
      <c r="AU22" s="204"/>
      <c r="AV22" s="205"/>
      <c r="AW22" s="206">
        <v>137142</v>
      </c>
      <c r="AX22" s="204"/>
      <c r="AY22" s="205"/>
      <c r="AZ22" s="206"/>
      <c r="BA22" s="204"/>
      <c r="BB22" s="205"/>
      <c r="BC22" s="206">
        <v>60239</v>
      </c>
      <c r="BD22" s="204"/>
      <c r="BE22" s="205"/>
      <c r="BF22" s="206"/>
      <c r="BG22" s="16">
        <v>14877</v>
      </c>
      <c r="BH22" s="34"/>
      <c r="BI22" s="18">
        <v>14877</v>
      </c>
      <c r="BJ22" s="204">
        <v>39381</v>
      </c>
      <c r="BK22" s="205"/>
      <c r="BL22" s="206">
        <v>39381</v>
      </c>
      <c r="BM22" s="204">
        <f>5697+9901</f>
        <v>15598</v>
      </c>
      <c r="BN22" s="205"/>
      <c r="BO22" s="197">
        <f>23358+13237</f>
        <v>36595</v>
      </c>
      <c r="BP22" s="204"/>
      <c r="BQ22" s="205"/>
      <c r="BR22" s="726">
        <v>40844</v>
      </c>
      <c r="BS22" s="198">
        <f aca="true" t="shared" si="18" ref="BS22:BU23">B22+E22+H22+K22+N22+Q22+T22+W22+Z22+AC22+AF22+AI22+AL22+AO22+AR22+AU22+AX22+BA22+BD22+BG22+BJ22+BM22+BP22</f>
        <v>911990</v>
      </c>
      <c r="BT22" s="189">
        <f t="shared" si="18"/>
        <v>0</v>
      </c>
      <c r="BU22" s="190">
        <f t="shared" si="18"/>
        <v>1797427</v>
      </c>
      <c r="BV22" s="204">
        <v>1480553</v>
      </c>
      <c r="BW22" s="205"/>
      <c r="BX22" s="206">
        <f>BV22</f>
        <v>1480553</v>
      </c>
      <c r="BY22" s="198">
        <f aca="true" t="shared" si="19" ref="BY22:CA23">BS22+BV22</f>
        <v>2392543</v>
      </c>
      <c r="BZ22" s="189">
        <f t="shared" si="19"/>
        <v>0</v>
      </c>
      <c r="CA22" s="190">
        <f t="shared" si="19"/>
        <v>3277980</v>
      </c>
    </row>
    <row r="23" spans="1:79" s="1541" customFormat="1" ht="13.5">
      <c r="A23" s="851" t="s">
        <v>2</v>
      </c>
      <c r="B23" s="1537">
        <f aca="true" t="shared" si="20" ref="B23:H23">B21+B22</f>
        <v>4209733</v>
      </c>
      <c r="C23" s="1538">
        <f t="shared" si="20"/>
        <v>3350338</v>
      </c>
      <c r="D23" s="1536">
        <f t="shared" si="20"/>
        <v>970745</v>
      </c>
      <c r="E23" s="1539">
        <f t="shared" si="20"/>
        <v>2386950</v>
      </c>
      <c r="F23" s="1538">
        <f t="shared" si="20"/>
        <v>1408180</v>
      </c>
      <c r="G23" s="1536">
        <f t="shared" si="20"/>
        <v>978770</v>
      </c>
      <c r="H23" s="1539">
        <f t="shared" si="20"/>
        <v>1639774</v>
      </c>
      <c r="I23" s="1538">
        <f aca="true" t="shared" si="21" ref="I23:BI23">I21+I22</f>
        <v>1498661</v>
      </c>
      <c r="J23" s="1536">
        <f t="shared" si="21"/>
        <v>141113</v>
      </c>
      <c r="K23" s="1539">
        <f t="shared" si="21"/>
        <v>5852052</v>
      </c>
      <c r="L23" s="1538">
        <f t="shared" si="21"/>
        <v>2204815</v>
      </c>
      <c r="M23" s="1536">
        <f t="shared" si="21"/>
        <v>3647237</v>
      </c>
      <c r="N23" s="1539">
        <f t="shared" si="21"/>
        <v>1078948</v>
      </c>
      <c r="O23" s="1538">
        <f t="shared" si="21"/>
        <v>882320</v>
      </c>
      <c r="P23" s="1536">
        <f t="shared" si="21"/>
        <v>207896</v>
      </c>
      <c r="Q23" s="1539">
        <f t="shared" si="21"/>
        <v>1818563</v>
      </c>
      <c r="R23" s="1538">
        <f t="shared" si="21"/>
        <v>1375839</v>
      </c>
      <c r="S23" s="1536">
        <f t="shared" si="21"/>
        <v>442724</v>
      </c>
      <c r="T23" s="1537">
        <f t="shared" si="21"/>
        <v>1269948</v>
      </c>
      <c r="U23" s="1538">
        <f t="shared" si="21"/>
        <v>1037659</v>
      </c>
      <c r="V23" s="1536">
        <f t="shared" si="21"/>
        <v>266184</v>
      </c>
      <c r="W23" s="1539">
        <f t="shared" si="21"/>
        <v>2182235</v>
      </c>
      <c r="X23" s="1538">
        <f t="shared" si="21"/>
        <v>1217624</v>
      </c>
      <c r="Y23" s="1536">
        <f t="shared" si="21"/>
        <v>924611</v>
      </c>
      <c r="Z23" s="1539">
        <f t="shared" si="21"/>
        <v>1957408</v>
      </c>
      <c r="AA23" s="1538">
        <f t="shared" si="21"/>
        <v>1646121</v>
      </c>
      <c r="AB23" s="1536">
        <f t="shared" si="21"/>
        <v>318354</v>
      </c>
      <c r="AC23" s="1539">
        <f t="shared" si="21"/>
        <v>1760918</v>
      </c>
      <c r="AD23" s="1538">
        <f t="shared" si="21"/>
        <v>1038618</v>
      </c>
      <c r="AE23" s="1536">
        <f t="shared" si="21"/>
        <v>792981</v>
      </c>
      <c r="AF23" s="1539">
        <f t="shared" si="21"/>
        <v>8097221</v>
      </c>
      <c r="AG23" s="1538">
        <f t="shared" si="21"/>
        <v>4695733</v>
      </c>
      <c r="AH23" s="1536">
        <f t="shared" si="21"/>
        <v>3401488</v>
      </c>
      <c r="AI23" s="1539">
        <f t="shared" si="21"/>
        <v>8800500</v>
      </c>
      <c r="AJ23" s="1538">
        <f t="shared" si="21"/>
        <v>4444306</v>
      </c>
      <c r="AK23" s="1536">
        <f t="shared" si="21"/>
        <v>4573467</v>
      </c>
      <c r="AL23" s="1539">
        <f t="shared" si="21"/>
        <v>2186229</v>
      </c>
      <c r="AM23" s="1538">
        <f t="shared" si="21"/>
        <v>900728</v>
      </c>
      <c r="AN23" s="1536">
        <f t="shared" si="21"/>
        <v>1285501</v>
      </c>
      <c r="AO23" s="1539">
        <f t="shared" si="21"/>
        <v>1343051</v>
      </c>
      <c r="AP23" s="1538">
        <f t="shared" si="21"/>
        <v>1068906</v>
      </c>
      <c r="AQ23" s="1536">
        <f t="shared" si="21"/>
        <v>274145</v>
      </c>
      <c r="AR23" s="1539">
        <f t="shared" si="21"/>
        <v>3796385</v>
      </c>
      <c r="AS23" s="1538">
        <f t="shared" si="21"/>
        <v>3126686</v>
      </c>
      <c r="AT23" s="1536">
        <f t="shared" si="21"/>
        <v>844481</v>
      </c>
      <c r="AU23" s="1539">
        <f t="shared" si="21"/>
        <v>9214057</v>
      </c>
      <c r="AV23" s="1538">
        <f t="shared" si="21"/>
        <v>7226578</v>
      </c>
      <c r="AW23" s="1536">
        <f t="shared" si="21"/>
        <v>2124621</v>
      </c>
      <c r="AX23" s="1539">
        <f t="shared" si="21"/>
        <v>0</v>
      </c>
      <c r="AY23" s="1538">
        <f t="shared" si="21"/>
        <v>0</v>
      </c>
      <c r="AZ23" s="1536">
        <f>AZ21+AZ22</f>
        <v>0</v>
      </c>
      <c r="BA23" s="1539">
        <f>BA21+BA22</f>
        <v>2264212</v>
      </c>
      <c r="BB23" s="1538">
        <f t="shared" si="21"/>
        <v>1723113</v>
      </c>
      <c r="BC23" s="1536">
        <f t="shared" si="21"/>
        <v>601338</v>
      </c>
      <c r="BD23" s="1539">
        <f t="shared" si="21"/>
        <v>0</v>
      </c>
      <c r="BE23" s="1538">
        <f t="shared" si="21"/>
        <v>0</v>
      </c>
      <c r="BF23" s="1536">
        <f t="shared" si="21"/>
        <v>0</v>
      </c>
      <c r="BG23" s="1536">
        <f t="shared" si="21"/>
        <v>11809193</v>
      </c>
      <c r="BH23" s="1536">
        <f t="shared" si="21"/>
        <v>6154885</v>
      </c>
      <c r="BI23" s="1536">
        <f t="shared" si="21"/>
        <v>5654308</v>
      </c>
      <c r="BJ23" s="1539">
        <f>BJ21+BJ22</f>
        <v>1491229</v>
      </c>
      <c r="BK23" s="1538">
        <f>BK21+BK22</f>
        <v>839476</v>
      </c>
      <c r="BL23" s="1536">
        <f aca="true" t="shared" si="22" ref="BL23:BR23">BL21+BL22</f>
        <v>651753</v>
      </c>
      <c r="BM23" s="1539">
        <f t="shared" si="22"/>
        <v>1328588</v>
      </c>
      <c r="BN23" s="1538">
        <f t="shared" si="22"/>
        <v>1069282</v>
      </c>
      <c r="BO23" s="1536">
        <f t="shared" si="22"/>
        <v>233883</v>
      </c>
      <c r="BP23" s="1539">
        <f t="shared" si="22"/>
        <v>5710791</v>
      </c>
      <c r="BQ23" s="1538">
        <f t="shared" si="22"/>
        <v>3835750</v>
      </c>
      <c r="BR23" s="1540">
        <f t="shared" si="22"/>
        <v>1915885</v>
      </c>
      <c r="BS23" s="1537">
        <f t="shared" si="18"/>
        <v>80197985</v>
      </c>
      <c r="BT23" s="1538">
        <f t="shared" si="18"/>
        <v>50745618</v>
      </c>
      <c r="BU23" s="1536">
        <f t="shared" si="18"/>
        <v>30251485</v>
      </c>
      <c r="BV23" s="1539">
        <f>BV21+BV22</f>
        <v>69752135</v>
      </c>
      <c r="BW23" s="1538">
        <f>BW21+BW22</f>
        <v>35218273</v>
      </c>
      <c r="BX23" s="1536">
        <f>BX21+BX22</f>
        <v>34533862</v>
      </c>
      <c r="BY23" s="1537">
        <f t="shared" si="19"/>
        <v>149950120</v>
      </c>
      <c r="BZ23" s="1538">
        <f t="shared" si="19"/>
        <v>85963891</v>
      </c>
      <c r="CA23" s="1536">
        <f t="shared" si="19"/>
        <v>64785347</v>
      </c>
    </row>
    <row r="24" spans="1:79" ht="17.25">
      <c r="A24" s="348" t="s">
        <v>238</v>
      </c>
      <c r="B24" s="650">
        <v>3948320</v>
      </c>
      <c r="C24" s="205">
        <v>3062434</v>
      </c>
      <c r="D24" s="206">
        <v>959821</v>
      </c>
      <c r="E24" s="204">
        <v>1948226</v>
      </c>
      <c r="F24" s="205">
        <v>1164687</v>
      </c>
      <c r="G24" s="206"/>
      <c r="H24" s="204">
        <v>1540162</v>
      </c>
      <c r="I24" s="205">
        <v>416047</v>
      </c>
      <c r="J24" s="206">
        <v>124115</v>
      </c>
      <c r="K24" s="204">
        <v>5627213</v>
      </c>
      <c r="L24" s="205">
        <v>2208846</v>
      </c>
      <c r="M24" s="651">
        <v>3418367</v>
      </c>
      <c r="N24" s="204">
        <v>1053859</v>
      </c>
      <c r="O24" s="205">
        <v>827158</v>
      </c>
      <c r="P24" s="206"/>
      <c r="Q24" s="204">
        <v>1718823</v>
      </c>
      <c r="R24" s="205">
        <v>1358016</v>
      </c>
      <c r="S24" s="206">
        <v>360807</v>
      </c>
      <c r="T24" s="650">
        <v>1278124</v>
      </c>
      <c r="U24" s="205">
        <v>898015</v>
      </c>
      <c r="V24" s="206">
        <v>381473</v>
      </c>
      <c r="W24" s="204">
        <v>2142235</v>
      </c>
      <c r="X24" s="205">
        <v>962687</v>
      </c>
      <c r="Y24" s="206">
        <v>1078554</v>
      </c>
      <c r="Z24" s="204">
        <v>1923395</v>
      </c>
      <c r="AA24" s="205">
        <v>1563285</v>
      </c>
      <c r="AB24" s="206"/>
      <c r="AC24" s="204">
        <v>1483673</v>
      </c>
      <c r="AD24" s="205">
        <v>827572</v>
      </c>
      <c r="AE24" s="206">
        <v>717910</v>
      </c>
      <c r="AF24" s="204">
        <v>7750372</v>
      </c>
      <c r="AG24" s="205">
        <v>4449121</v>
      </c>
      <c r="AH24" s="206">
        <v>3301251</v>
      </c>
      <c r="AI24" s="204">
        <v>8590732</v>
      </c>
      <c r="AJ24" s="205">
        <v>4017366</v>
      </c>
      <c r="AK24" s="206">
        <v>4777557</v>
      </c>
      <c r="AL24" s="204">
        <v>2201030</v>
      </c>
      <c r="AM24" s="205">
        <v>861114</v>
      </c>
      <c r="AN24" s="206">
        <v>1339916</v>
      </c>
      <c r="AO24" s="204">
        <v>1282300</v>
      </c>
      <c r="AP24" s="205">
        <v>856765</v>
      </c>
      <c r="AQ24" s="206">
        <v>425534</v>
      </c>
      <c r="AR24" s="204">
        <v>3533196</v>
      </c>
      <c r="AS24" s="205">
        <v>2828756</v>
      </c>
      <c r="AT24" s="206">
        <v>838725</v>
      </c>
      <c r="AU24" s="204">
        <v>8681522</v>
      </c>
      <c r="AV24" s="205">
        <v>6614297</v>
      </c>
      <c r="AW24" s="206">
        <v>2187050</v>
      </c>
      <c r="AX24" s="204"/>
      <c r="AY24" s="205"/>
      <c r="AZ24" s="206"/>
      <c r="BA24" s="204">
        <v>1956867</v>
      </c>
      <c r="BB24" s="205">
        <v>1503218</v>
      </c>
      <c r="BC24" s="206">
        <v>525316</v>
      </c>
      <c r="BD24" s="204"/>
      <c r="BE24" s="205"/>
      <c r="BF24" s="206"/>
      <c r="BG24" s="720">
        <v>11074514</v>
      </c>
      <c r="BH24" s="721">
        <v>5262666</v>
      </c>
      <c r="BI24" s="722">
        <v>5811847</v>
      </c>
      <c r="BJ24" s="204">
        <v>1351154</v>
      </c>
      <c r="BK24" s="205"/>
      <c r="BL24" s="206"/>
      <c r="BM24" s="204">
        <v>1273588</v>
      </c>
      <c r="BN24" s="205">
        <v>1039582</v>
      </c>
      <c r="BO24" s="206"/>
      <c r="BP24" s="204">
        <v>5284036</v>
      </c>
      <c r="BQ24" s="205">
        <v>3371824</v>
      </c>
      <c r="BR24" s="726">
        <v>1949107</v>
      </c>
      <c r="BS24" s="203"/>
      <c r="BT24" s="201"/>
      <c r="BU24" s="202"/>
      <c r="BV24" s="204">
        <v>61863538</v>
      </c>
      <c r="BW24" s="205">
        <v>31725298</v>
      </c>
      <c r="BX24" s="206">
        <v>30138240</v>
      </c>
      <c r="BY24" s="203"/>
      <c r="BZ24" s="201"/>
      <c r="CA24" s="202"/>
    </row>
    <row r="25" spans="1:79" ht="17.25" thickBot="1">
      <c r="A25" s="349" t="s">
        <v>234</v>
      </c>
      <c r="B25" s="652"/>
      <c r="C25" s="653"/>
      <c r="D25" s="654"/>
      <c r="E25" s="655"/>
      <c r="F25" s="653"/>
      <c r="G25" s="654"/>
      <c r="H25" s="655"/>
      <c r="I25" s="653"/>
      <c r="J25" s="654"/>
      <c r="K25" s="655"/>
      <c r="L25" s="653"/>
      <c r="M25" s="656"/>
      <c r="N25" s="655"/>
      <c r="O25" s="653"/>
      <c r="P25" s="654"/>
      <c r="Q25" s="655"/>
      <c r="R25" s="653"/>
      <c r="S25" s="654"/>
      <c r="T25" s="652"/>
      <c r="U25" s="653"/>
      <c r="V25" s="654"/>
      <c r="W25" s="655"/>
      <c r="X25" s="653"/>
      <c r="Y25" s="654"/>
      <c r="Z25" s="655"/>
      <c r="AA25" s="653"/>
      <c r="AB25" s="654"/>
      <c r="AC25" s="655"/>
      <c r="AD25" s="653"/>
      <c r="AE25" s="654"/>
      <c r="AF25" s="655"/>
      <c r="AG25" s="653"/>
      <c r="AH25" s="654"/>
      <c r="AI25" s="655"/>
      <c r="AJ25" s="653"/>
      <c r="AK25" s="654"/>
      <c r="AL25" s="655"/>
      <c r="AM25" s="653"/>
      <c r="AN25" s="654"/>
      <c r="AO25" s="655"/>
      <c r="AP25" s="653"/>
      <c r="AQ25" s="654"/>
      <c r="AR25" s="655"/>
      <c r="AS25" s="653"/>
      <c r="AT25" s="654"/>
      <c r="AU25" s="655"/>
      <c r="AV25" s="653"/>
      <c r="AW25" s="654"/>
      <c r="AX25" s="655"/>
      <c r="AY25" s="653"/>
      <c r="AZ25" s="654"/>
      <c r="BA25" s="655"/>
      <c r="BB25" s="653"/>
      <c r="BC25" s="654"/>
      <c r="BD25" s="655"/>
      <c r="BE25" s="653"/>
      <c r="BF25" s="654"/>
      <c r="BG25" s="723"/>
      <c r="BH25" s="231"/>
      <c r="BI25" s="232"/>
      <c r="BJ25" s="655"/>
      <c r="BK25" s="653"/>
      <c r="BL25" s="654"/>
      <c r="BM25" s="655"/>
      <c r="BN25" s="653"/>
      <c r="BO25" s="654"/>
      <c r="BP25" s="655"/>
      <c r="BQ25" s="653"/>
      <c r="BR25" s="727"/>
      <c r="BS25" s="652"/>
      <c r="BT25" s="653"/>
      <c r="BU25" s="654"/>
      <c r="BV25" s="655"/>
      <c r="BW25" s="653"/>
      <c r="BX25" s="654"/>
      <c r="BY25" s="652"/>
      <c r="BZ25" s="653"/>
      <c r="CA25" s="654"/>
    </row>
  </sheetData>
  <sheetProtection/>
  <mergeCells count="28">
    <mergeCell ref="T3:V3"/>
    <mergeCell ref="BM3:BO3"/>
    <mergeCell ref="BP3:BR3"/>
    <mergeCell ref="W3:Y3"/>
    <mergeCell ref="Z3:AB3"/>
    <mergeCell ref="AC3:AE3"/>
    <mergeCell ref="AF3:AH3"/>
    <mergeCell ref="AI3:AK3"/>
    <mergeCell ref="BG3:BI3"/>
    <mergeCell ref="BJ3:BL3"/>
    <mergeCell ref="A1:BZ1"/>
    <mergeCell ref="A2:BZ2"/>
    <mergeCell ref="B3:D3"/>
    <mergeCell ref="E3:G3"/>
    <mergeCell ref="H3:J3"/>
    <mergeCell ref="K3:M3"/>
    <mergeCell ref="N3:P3"/>
    <mergeCell ref="Q3:S3"/>
    <mergeCell ref="AL3:AN3"/>
    <mergeCell ref="AO3:AQ3"/>
    <mergeCell ref="BS3:BU3"/>
    <mergeCell ref="BV3:BX3"/>
    <mergeCell ref="BY3:CA3"/>
    <mergeCell ref="AR3:AT3"/>
    <mergeCell ref="AU3:AW3"/>
    <mergeCell ref="AX3:AZ3"/>
    <mergeCell ref="BA3:BC3"/>
    <mergeCell ref="BD3:BF3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A1:BA2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C10" sqref="BC10"/>
    </sheetView>
  </sheetViews>
  <sheetFormatPr defaultColWidth="9.140625" defaultRowHeight="15"/>
  <cols>
    <col min="1" max="1" width="68.00390625" style="109" bestFit="1" customWidth="1"/>
    <col min="2" max="9" width="10.57421875" style="109" bestFit="1" customWidth="1"/>
    <col min="10" max="10" width="10.57421875" style="109" customWidth="1"/>
    <col min="11" max="24" width="10.57421875" style="109" bestFit="1" customWidth="1"/>
    <col min="25" max="25" width="10.57421875" style="109" customWidth="1"/>
    <col min="26" max="27" width="10.57421875" style="109" bestFit="1" customWidth="1"/>
    <col min="28" max="29" width="11.00390625" style="109" bestFit="1" customWidth="1"/>
    <col min="30" max="41" width="10.57421875" style="109" bestFit="1" customWidth="1"/>
    <col min="42" max="42" width="10.57421875" style="109" customWidth="1"/>
    <col min="43" max="44" width="10.57421875" style="109" bestFit="1" customWidth="1"/>
    <col min="45" max="45" width="10.57421875" style="109" customWidth="1"/>
    <col min="46" max="49" width="10.57421875" style="109" bestFit="1" customWidth="1"/>
    <col min="50" max="50" width="11.421875" style="109" bestFit="1" customWidth="1"/>
    <col min="51" max="51" width="10.57421875" style="109" bestFit="1" customWidth="1"/>
    <col min="52" max="52" width="12.00390625" style="109" bestFit="1" customWidth="1"/>
    <col min="53" max="53" width="11.421875" style="109" bestFit="1" customWidth="1"/>
    <col min="54" max="16384" width="9.140625" style="109" customWidth="1"/>
  </cols>
  <sheetData>
    <row r="1" spans="1:53" ht="62.25" customHeight="1" thickBot="1">
      <c r="A1" s="1222" t="s">
        <v>257</v>
      </c>
      <c r="B1" s="1639" t="s">
        <v>163</v>
      </c>
      <c r="C1" s="1642"/>
      <c r="D1" s="1670" t="s">
        <v>164</v>
      </c>
      <c r="E1" s="1671"/>
      <c r="F1" s="1670" t="s">
        <v>165</v>
      </c>
      <c r="G1" s="1671"/>
      <c r="H1" s="1670" t="s">
        <v>166</v>
      </c>
      <c r="I1" s="1671"/>
      <c r="J1" s="1670" t="s">
        <v>167</v>
      </c>
      <c r="K1" s="1671"/>
      <c r="L1" s="1670" t="s">
        <v>168</v>
      </c>
      <c r="M1" s="1671"/>
      <c r="N1" s="1670" t="s">
        <v>446</v>
      </c>
      <c r="O1" s="1671"/>
      <c r="P1" s="1670" t="s">
        <v>169</v>
      </c>
      <c r="Q1" s="1671"/>
      <c r="R1" s="1670" t="s">
        <v>170</v>
      </c>
      <c r="S1" s="1671"/>
      <c r="T1" s="1670" t="s">
        <v>171</v>
      </c>
      <c r="U1" s="1671"/>
      <c r="V1" s="1670" t="s">
        <v>172</v>
      </c>
      <c r="W1" s="1671"/>
      <c r="X1" s="1670" t="s">
        <v>173</v>
      </c>
      <c r="Y1" s="1671"/>
      <c r="Z1" s="1670" t="s">
        <v>526</v>
      </c>
      <c r="AA1" s="1671"/>
      <c r="AB1" s="1670" t="s">
        <v>174</v>
      </c>
      <c r="AC1" s="1671"/>
      <c r="AD1" s="1672" t="s">
        <v>175</v>
      </c>
      <c r="AE1" s="1673"/>
      <c r="AF1" s="1670" t="s">
        <v>176</v>
      </c>
      <c r="AG1" s="1671"/>
      <c r="AH1" s="1670" t="s">
        <v>177</v>
      </c>
      <c r="AI1" s="1671"/>
      <c r="AJ1" s="1670" t="s">
        <v>178</v>
      </c>
      <c r="AK1" s="1671"/>
      <c r="AL1" s="1672" t="s">
        <v>179</v>
      </c>
      <c r="AM1" s="1673"/>
      <c r="AN1" s="1670" t="s">
        <v>180</v>
      </c>
      <c r="AO1" s="1671"/>
      <c r="AP1" s="1670" t="s">
        <v>181</v>
      </c>
      <c r="AQ1" s="1671"/>
      <c r="AR1" s="1670" t="s">
        <v>182</v>
      </c>
      <c r="AS1" s="1671"/>
      <c r="AT1" s="1670" t="s">
        <v>183</v>
      </c>
      <c r="AU1" s="1671"/>
      <c r="AV1" s="1676" t="s">
        <v>1</v>
      </c>
      <c r="AW1" s="1677"/>
      <c r="AX1" s="1672" t="s">
        <v>184</v>
      </c>
      <c r="AY1" s="1673"/>
      <c r="AZ1" s="1674" t="s">
        <v>2</v>
      </c>
      <c r="BA1" s="1675"/>
    </row>
    <row r="2" spans="1:53" s="1297" customFormat="1" ht="30.75" customHeight="1" thickBot="1">
      <c r="A2" s="1294" t="s">
        <v>0</v>
      </c>
      <c r="B2" s="1282" t="s">
        <v>523</v>
      </c>
      <c r="C2" s="1281" t="s">
        <v>380</v>
      </c>
      <c r="D2" s="1295" t="s">
        <v>523</v>
      </c>
      <c r="E2" s="1281" t="s">
        <v>380</v>
      </c>
      <c r="F2" s="1295" t="s">
        <v>523</v>
      </c>
      <c r="G2" s="1281" t="s">
        <v>380</v>
      </c>
      <c r="H2" s="1282" t="s">
        <v>523</v>
      </c>
      <c r="I2" s="1281" t="s">
        <v>380</v>
      </c>
      <c r="J2" s="1295" t="s">
        <v>523</v>
      </c>
      <c r="K2" s="1281" t="s">
        <v>380</v>
      </c>
      <c r="L2" s="1295" t="s">
        <v>523</v>
      </c>
      <c r="M2" s="1281" t="s">
        <v>380</v>
      </c>
      <c r="N2" s="1282" t="s">
        <v>523</v>
      </c>
      <c r="O2" s="1281" t="s">
        <v>380</v>
      </c>
      <c r="P2" s="1295" t="s">
        <v>523</v>
      </c>
      <c r="Q2" s="1281" t="s">
        <v>380</v>
      </c>
      <c r="R2" s="1295" t="s">
        <v>523</v>
      </c>
      <c r="S2" s="1281" t="s">
        <v>380</v>
      </c>
      <c r="T2" s="1295" t="s">
        <v>523</v>
      </c>
      <c r="U2" s="1281" t="s">
        <v>380</v>
      </c>
      <c r="V2" s="1295" t="s">
        <v>523</v>
      </c>
      <c r="W2" s="1281" t="s">
        <v>380</v>
      </c>
      <c r="X2" s="1295" t="s">
        <v>523</v>
      </c>
      <c r="Y2" s="1281" t="s">
        <v>380</v>
      </c>
      <c r="Z2" s="1295" t="s">
        <v>523</v>
      </c>
      <c r="AA2" s="1281" t="s">
        <v>380</v>
      </c>
      <c r="AB2" s="1295" t="s">
        <v>523</v>
      </c>
      <c r="AC2" s="1281" t="s">
        <v>380</v>
      </c>
      <c r="AD2" s="1295" t="s">
        <v>523</v>
      </c>
      <c r="AE2" s="1281" t="s">
        <v>380</v>
      </c>
      <c r="AF2" s="1295" t="s">
        <v>523</v>
      </c>
      <c r="AG2" s="1281" t="s">
        <v>380</v>
      </c>
      <c r="AH2" s="1295" t="s">
        <v>523</v>
      </c>
      <c r="AI2" s="1281" t="s">
        <v>380</v>
      </c>
      <c r="AJ2" s="1295" t="s">
        <v>523</v>
      </c>
      <c r="AK2" s="1281" t="s">
        <v>380</v>
      </c>
      <c r="AL2" s="1295" t="s">
        <v>523</v>
      </c>
      <c r="AM2" s="1281" t="s">
        <v>380</v>
      </c>
      <c r="AN2" s="1295" t="s">
        <v>523</v>
      </c>
      <c r="AO2" s="1281" t="s">
        <v>380</v>
      </c>
      <c r="AP2" s="1295" t="s">
        <v>523</v>
      </c>
      <c r="AQ2" s="1281" t="s">
        <v>380</v>
      </c>
      <c r="AR2" s="1295" t="s">
        <v>523</v>
      </c>
      <c r="AS2" s="1281" t="s">
        <v>380</v>
      </c>
      <c r="AT2" s="1295" t="s">
        <v>523</v>
      </c>
      <c r="AU2" s="1281" t="s">
        <v>380</v>
      </c>
      <c r="AV2" s="1295" t="s">
        <v>523</v>
      </c>
      <c r="AW2" s="1281" t="s">
        <v>380</v>
      </c>
      <c r="AX2" s="1295" t="s">
        <v>523</v>
      </c>
      <c r="AY2" s="1296" t="s">
        <v>380</v>
      </c>
      <c r="AZ2" s="1282" t="s">
        <v>523</v>
      </c>
      <c r="BA2" s="1281" t="s">
        <v>380</v>
      </c>
    </row>
    <row r="3" spans="1:53" ht="14.25">
      <c r="A3" s="494" t="s">
        <v>239</v>
      </c>
      <c r="B3" s="1201">
        <v>616437</v>
      </c>
      <c r="C3" s="1223">
        <v>126021</v>
      </c>
      <c r="D3" s="1224">
        <v>31752</v>
      </c>
      <c r="E3" s="446">
        <v>54510</v>
      </c>
      <c r="F3" s="622">
        <v>122097</v>
      </c>
      <c r="G3" s="446">
        <v>8393</v>
      </c>
      <c r="H3" s="622">
        <v>787263</v>
      </c>
      <c r="I3" s="446">
        <v>650578</v>
      </c>
      <c r="J3" s="622">
        <v>258903</v>
      </c>
      <c r="K3" s="446">
        <v>82516</v>
      </c>
      <c r="L3" s="622">
        <v>22862</v>
      </c>
      <c r="M3" s="446">
        <v>10105</v>
      </c>
      <c r="N3" s="622">
        <v>84071</v>
      </c>
      <c r="O3" s="446">
        <v>24007</v>
      </c>
      <c r="P3" s="622">
        <v>276898</v>
      </c>
      <c r="Q3" s="446">
        <v>61344</v>
      </c>
      <c r="R3" s="622">
        <v>507895</v>
      </c>
      <c r="S3" s="446">
        <v>121848</v>
      </c>
      <c r="T3" s="622">
        <v>394151</v>
      </c>
      <c r="U3" s="446">
        <v>191644</v>
      </c>
      <c r="V3" s="622">
        <v>985676</v>
      </c>
      <c r="W3" s="446">
        <v>14140</v>
      </c>
      <c r="X3" s="622">
        <v>1102738</v>
      </c>
      <c r="Y3" s="446">
        <v>123157</v>
      </c>
      <c r="Z3" s="622">
        <v>11820</v>
      </c>
      <c r="AA3" s="446">
        <v>3453</v>
      </c>
      <c r="AB3" s="622">
        <v>26440.39</v>
      </c>
      <c r="AC3" s="446">
        <v>26866.97</v>
      </c>
      <c r="AD3" s="622">
        <v>1053654</v>
      </c>
      <c r="AE3" s="446">
        <v>229769</v>
      </c>
      <c r="AF3" s="622">
        <v>675449</v>
      </c>
      <c r="AG3" s="446">
        <v>448960</v>
      </c>
      <c r="AH3" s="622"/>
      <c r="AI3" s="446">
        <v>368525</v>
      </c>
      <c r="AJ3" s="622">
        <v>599961</v>
      </c>
      <c r="AK3" s="446">
        <v>485113</v>
      </c>
      <c r="AL3" s="622"/>
      <c r="AM3" s="446"/>
      <c r="AN3" s="622">
        <v>749860</v>
      </c>
      <c r="AO3" s="446">
        <v>172334</v>
      </c>
      <c r="AP3" s="622">
        <v>319619</v>
      </c>
      <c r="AQ3" s="446">
        <v>51249</v>
      </c>
      <c r="AR3" s="622">
        <v>141126</v>
      </c>
      <c r="AS3" s="446">
        <v>16159</v>
      </c>
      <c r="AT3" s="622">
        <v>999069</v>
      </c>
      <c r="AU3" s="446">
        <v>363255</v>
      </c>
      <c r="AV3" s="1226">
        <f>SUM(B3+D3+F3+H3+J3+L3+N3+P3+R3+T3+V3+X3+Z3+AB3+AD3+AF3+AH3+AJ3+AL3+AN3+AP3+AR3+AT3)</f>
        <v>9767741.39</v>
      </c>
      <c r="AW3" s="1225">
        <f>SUM(C3+E3+G3+I3+K3+M3+O3+Q3+S3+U3+W3+Y3+AA3+AC3+AE3+AG3+AI3+AK3+AM3+AO3+AQ3+AS3+AU3)</f>
        <v>3633946.9699999997</v>
      </c>
      <c r="AX3" s="1226">
        <v>33377656</v>
      </c>
      <c r="AY3" s="1183">
        <v>5707390</v>
      </c>
      <c r="AZ3" s="1188">
        <f>AV3+AX3</f>
        <v>43145397.39</v>
      </c>
      <c r="BA3" s="1225">
        <f>AW3+AY3</f>
        <v>9341336.969999999</v>
      </c>
    </row>
    <row r="4" spans="1:53" ht="14.25">
      <c r="A4" s="493" t="s">
        <v>240</v>
      </c>
      <c r="B4" s="1112"/>
      <c r="C4" s="108"/>
      <c r="D4" s="448"/>
      <c r="E4" s="108"/>
      <c r="F4" s="448"/>
      <c r="G4" s="108"/>
      <c r="H4" s="448"/>
      <c r="I4" s="108"/>
      <c r="J4" s="448"/>
      <c r="K4" s="108"/>
      <c r="L4" s="448"/>
      <c r="M4" s="108"/>
      <c r="N4" s="448"/>
      <c r="O4" s="108"/>
      <c r="P4" s="448"/>
      <c r="Q4" s="108"/>
      <c r="R4" s="448"/>
      <c r="S4" s="108"/>
      <c r="T4" s="448"/>
      <c r="U4" s="108"/>
      <c r="V4" s="448"/>
      <c r="W4" s="108"/>
      <c r="X4" s="448"/>
      <c r="Y4" s="108"/>
      <c r="Z4" s="448"/>
      <c r="AA4" s="108"/>
      <c r="AB4" s="448"/>
      <c r="AC4" s="108"/>
      <c r="AD4" s="448"/>
      <c r="AE4" s="108"/>
      <c r="AF4" s="448"/>
      <c r="AG4" s="108"/>
      <c r="AH4" s="448"/>
      <c r="AI4" s="108"/>
      <c r="AJ4" s="448"/>
      <c r="AK4" s="108"/>
      <c r="AL4" s="448"/>
      <c r="AM4" s="108"/>
      <c r="AN4" s="448"/>
      <c r="AO4" s="108"/>
      <c r="AP4" s="448"/>
      <c r="AQ4" s="108"/>
      <c r="AR4" s="448"/>
      <c r="AS4" s="108"/>
      <c r="AT4" s="448"/>
      <c r="AU4" s="108"/>
      <c r="AV4" s="1226">
        <f aca="true" t="shared" si="0" ref="AV4:AV29">SUM(B4+D4+F4+H4+J4+L4+N4+P4+R4+T4+V4+X4+Z4+AB4+AD4+AF4+AH4+AJ4+AL4+AN4+AP4+AR4+AT4)</f>
        <v>0</v>
      </c>
      <c r="AW4" s="1225">
        <f aca="true" t="shared" si="1" ref="AW4:AW29">SUM(C4+E4+G4+I4+K4+M4+O4+Q4+S4+U4+W4+Y4+AA4+AC4+AE4+AG4+AI4+AK4+AM4+AO4+AQ4+AS4+AU4)</f>
        <v>0</v>
      </c>
      <c r="AX4" s="1205"/>
      <c r="AY4" s="1184"/>
      <c r="AZ4" s="1186">
        <f aca="true" t="shared" si="2" ref="AZ4:AZ29">AV4+AX4</f>
        <v>0</v>
      </c>
      <c r="BA4" s="1204">
        <f aca="true" t="shared" si="3" ref="BA4:BA29">AW4+AY4</f>
        <v>0</v>
      </c>
    </row>
    <row r="5" spans="1:53" ht="14.25">
      <c r="A5" s="493" t="s">
        <v>241</v>
      </c>
      <c r="B5" s="1112"/>
      <c r="C5" s="108"/>
      <c r="D5" s="448"/>
      <c r="E5" s="108"/>
      <c r="F5" s="448"/>
      <c r="G5" s="108"/>
      <c r="H5" s="448"/>
      <c r="I5" s="108"/>
      <c r="J5" s="448"/>
      <c r="K5" s="108"/>
      <c r="L5" s="448"/>
      <c r="M5" s="108"/>
      <c r="N5" s="448"/>
      <c r="O5" s="108"/>
      <c r="P5" s="448"/>
      <c r="Q5" s="108"/>
      <c r="R5" s="448"/>
      <c r="S5" s="108"/>
      <c r="T5" s="448"/>
      <c r="U5" s="108"/>
      <c r="V5" s="448"/>
      <c r="W5" s="108"/>
      <c r="X5" s="448"/>
      <c r="Y5" s="108"/>
      <c r="Z5" s="448"/>
      <c r="AA5" s="108"/>
      <c r="AB5" s="448"/>
      <c r="AC5" s="108"/>
      <c r="AD5" s="448"/>
      <c r="AE5" s="108"/>
      <c r="AF5" s="448"/>
      <c r="AG5" s="108"/>
      <c r="AH5" s="448"/>
      <c r="AI5" s="108"/>
      <c r="AJ5" s="448"/>
      <c r="AK5" s="108"/>
      <c r="AL5" s="448"/>
      <c r="AM5" s="108"/>
      <c r="AN5" s="448"/>
      <c r="AO5" s="108"/>
      <c r="AP5" s="448"/>
      <c r="AQ5" s="108"/>
      <c r="AR5" s="448"/>
      <c r="AS5" s="108"/>
      <c r="AT5" s="448"/>
      <c r="AU5" s="108"/>
      <c r="AV5" s="1226">
        <f t="shared" si="0"/>
        <v>0</v>
      </c>
      <c r="AW5" s="1225">
        <f t="shared" si="1"/>
        <v>0</v>
      </c>
      <c r="AX5" s="1205"/>
      <c r="AY5" s="1184"/>
      <c r="AZ5" s="1186">
        <f t="shared" si="2"/>
        <v>0</v>
      </c>
      <c r="BA5" s="1204">
        <f t="shared" si="3"/>
        <v>0</v>
      </c>
    </row>
    <row r="6" spans="1:53" ht="14.25">
      <c r="A6" s="493" t="s">
        <v>242</v>
      </c>
      <c r="B6" s="1112">
        <v>1850442</v>
      </c>
      <c r="C6" s="86">
        <v>1154200</v>
      </c>
      <c r="D6" s="85"/>
      <c r="E6" s="108"/>
      <c r="F6" s="448">
        <v>314600</v>
      </c>
      <c r="G6" s="108">
        <v>308000</v>
      </c>
      <c r="H6" s="448"/>
      <c r="I6" s="108"/>
      <c r="J6" s="448">
        <v>84900</v>
      </c>
      <c r="K6" s="108">
        <v>93500</v>
      </c>
      <c r="L6" s="448"/>
      <c r="M6" s="108"/>
      <c r="N6" s="448"/>
      <c r="O6" s="108"/>
      <c r="P6" s="448">
        <v>676</v>
      </c>
      <c r="Q6" s="108">
        <v>640</v>
      </c>
      <c r="R6" s="448">
        <v>731000</v>
      </c>
      <c r="S6" s="108">
        <v>1361000</v>
      </c>
      <c r="T6" s="448"/>
      <c r="U6" s="108"/>
      <c r="V6" s="448"/>
      <c r="W6" s="108"/>
      <c r="X6" s="448"/>
      <c r="Y6" s="108"/>
      <c r="Z6" s="448"/>
      <c r="AA6" s="108"/>
      <c r="AB6" s="448"/>
      <c r="AC6" s="108"/>
      <c r="AD6" s="448"/>
      <c r="AE6" s="108"/>
      <c r="AF6" s="448"/>
      <c r="AG6" s="108"/>
      <c r="AH6" s="448"/>
      <c r="AI6" s="108">
        <v>185950</v>
      </c>
      <c r="AJ6" s="448">
        <v>1092</v>
      </c>
      <c r="AK6" s="108">
        <v>1103</v>
      </c>
      <c r="AL6" s="448"/>
      <c r="AM6" s="108"/>
      <c r="AN6" s="448">
        <v>2625600</v>
      </c>
      <c r="AO6" s="108">
        <v>6737200</v>
      </c>
      <c r="AP6" s="448"/>
      <c r="AQ6" s="108"/>
      <c r="AR6" s="448"/>
      <c r="AS6" s="108"/>
      <c r="AT6" s="448">
        <v>5945</v>
      </c>
      <c r="AU6" s="108">
        <v>4845</v>
      </c>
      <c r="AV6" s="1226">
        <f t="shared" si="0"/>
        <v>5614255</v>
      </c>
      <c r="AW6" s="1225">
        <f t="shared" si="1"/>
        <v>9846438</v>
      </c>
      <c r="AX6" s="1205">
        <v>12801749</v>
      </c>
      <c r="AY6" s="1184">
        <v>6187608</v>
      </c>
      <c r="AZ6" s="1186">
        <f t="shared" si="2"/>
        <v>18416004</v>
      </c>
      <c r="BA6" s="1204">
        <f t="shared" si="3"/>
        <v>16034046</v>
      </c>
    </row>
    <row r="7" spans="1:53" ht="14.25">
      <c r="A7" s="493" t="s">
        <v>243</v>
      </c>
      <c r="B7" s="1112">
        <v>2500</v>
      </c>
      <c r="C7" s="86">
        <v>2500</v>
      </c>
      <c r="D7" s="85"/>
      <c r="E7" s="108"/>
      <c r="F7" s="448">
        <v>52500</v>
      </c>
      <c r="G7" s="108">
        <v>2500</v>
      </c>
      <c r="H7" s="448"/>
      <c r="I7" s="108"/>
      <c r="J7" s="448">
        <v>50000</v>
      </c>
      <c r="K7" s="108"/>
      <c r="L7" s="448"/>
      <c r="M7" s="108"/>
      <c r="N7" s="448">
        <v>2600</v>
      </c>
      <c r="O7" s="108">
        <v>100</v>
      </c>
      <c r="P7" s="448">
        <v>58</v>
      </c>
      <c r="Q7" s="108">
        <v>58</v>
      </c>
      <c r="R7" s="448">
        <v>2500</v>
      </c>
      <c r="S7" s="108">
        <v>2500</v>
      </c>
      <c r="T7" s="448"/>
      <c r="U7" s="108"/>
      <c r="V7" s="448">
        <v>3612</v>
      </c>
      <c r="W7" s="108">
        <v>3618</v>
      </c>
      <c r="X7" s="448"/>
      <c r="Y7" s="108"/>
      <c r="Z7" s="448"/>
      <c r="AA7" s="108"/>
      <c r="AB7" s="448"/>
      <c r="AC7" s="108"/>
      <c r="AD7" s="448"/>
      <c r="AE7" s="108"/>
      <c r="AF7" s="448"/>
      <c r="AG7" s="108"/>
      <c r="AH7" s="448"/>
      <c r="AI7" s="108">
        <v>597</v>
      </c>
      <c r="AJ7" s="448">
        <v>160095</v>
      </c>
      <c r="AK7" s="108">
        <v>160095</v>
      </c>
      <c r="AL7" s="448"/>
      <c r="AM7" s="108"/>
      <c r="AN7" s="448">
        <v>14944100</v>
      </c>
      <c r="AO7" s="108">
        <v>5120700</v>
      </c>
      <c r="AP7" s="448"/>
      <c r="AQ7" s="108"/>
      <c r="AR7" s="448"/>
      <c r="AS7" s="108"/>
      <c r="AT7" s="448">
        <v>3266</v>
      </c>
      <c r="AU7" s="108">
        <v>4200</v>
      </c>
      <c r="AV7" s="1226">
        <f t="shared" si="0"/>
        <v>15221231</v>
      </c>
      <c r="AW7" s="1225">
        <f t="shared" si="1"/>
        <v>5296868</v>
      </c>
      <c r="AX7" s="1205">
        <v>11805673</v>
      </c>
      <c r="AY7" s="1184">
        <v>12986811</v>
      </c>
      <c r="AZ7" s="1186">
        <f t="shared" si="2"/>
        <v>27026904</v>
      </c>
      <c r="BA7" s="1204">
        <f t="shared" si="3"/>
        <v>18283679</v>
      </c>
    </row>
    <row r="8" spans="1:53" ht="14.25">
      <c r="A8" s="493" t="s">
        <v>244</v>
      </c>
      <c r="B8" s="1112">
        <v>84777</v>
      </c>
      <c r="C8" s="86">
        <v>3126595</v>
      </c>
      <c r="D8" s="85">
        <v>353000</v>
      </c>
      <c r="E8" s="108">
        <v>467054</v>
      </c>
      <c r="F8" s="448">
        <v>247132</v>
      </c>
      <c r="G8" s="108">
        <v>378903</v>
      </c>
      <c r="H8" s="448">
        <v>3157825</v>
      </c>
      <c r="I8" s="108">
        <v>2178578</v>
      </c>
      <c r="J8" s="448">
        <v>534893</v>
      </c>
      <c r="K8" s="108">
        <v>2079888</v>
      </c>
      <c r="L8" s="448">
        <v>2692780</v>
      </c>
      <c r="M8" s="108">
        <v>1671505</v>
      </c>
      <c r="N8" s="448">
        <v>394662</v>
      </c>
      <c r="O8" s="108">
        <v>610830</v>
      </c>
      <c r="P8" s="448">
        <v>673323</v>
      </c>
      <c r="Q8" s="108">
        <v>842550</v>
      </c>
      <c r="R8" s="448">
        <v>1656365</v>
      </c>
      <c r="S8" s="108">
        <v>1065063</v>
      </c>
      <c r="T8" s="448">
        <v>699270</v>
      </c>
      <c r="U8" s="108">
        <v>487847</v>
      </c>
      <c r="V8" s="448">
        <v>9366307</v>
      </c>
      <c r="W8" s="108">
        <v>6780924</v>
      </c>
      <c r="X8" s="448">
        <v>4473647</v>
      </c>
      <c r="Y8" s="108">
        <v>7988948</v>
      </c>
      <c r="Z8" s="448">
        <v>950668</v>
      </c>
      <c r="AA8" s="108">
        <v>807159</v>
      </c>
      <c r="AB8" s="448">
        <v>1938386.4</v>
      </c>
      <c r="AC8" s="108">
        <v>1398043.04</v>
      </c>
      <c r="AD8" s="448">
        <v>2816227</v>
      </c>
      <c r="AE8" s="108">
        <v>3443157</v>
      </c>
      <c r="AF8" s="448">
        <v>5116893</v>
      </c>
      <c r="AG8" s="108">
        <v>3610892</v>
      </c>
      <c r="AH8" s="448"/>
      <c r="AI8" s="108">
        <v>2739018</v>
      </c>
      <c r="AJ8" s="448">
        <v>2180001</v>
      </c>
      <c r="AK8" s="108">
        <v>1694014</v>
      </c>
      <c r="AL8" s="448"/>
      <c r="AM8" s="108"/>
      <c r="AN8" s="448">
        <v>8751078</v>
      </c>
      <c r="AO8" s="108">
        <v>2167536</v>
      </c>
      <c r="AP8" s="448">
        <v>1335427</v>
      </c>
      <c r="AQ8" s="108">
        <v>730180</v>
      </c>
      <c r="AR8" s="448">
        <v>1743014</v>
      </c>
      <c r="AS8" s="108">
        <v>350532</v>
      </c>
      <c r="AT8" s="448">
        <v>5036480</v>
      </c>
      <c r="AU8" s="108">
        <v>3141853</v>
      </c>
      <c r="AV8" s="1226">
        <f t="shared" si="0"/>
        <v>54202155.4</v>
      </c>
      <c r="AW8" s="1225">
        <f t="shared" si="1"/>
        <v>47761069.04</v>
      </c>
      <c r="AX8" s="1205">
        <v>172786220</v>
      </c>
      <c r="AY8" s="1184">
        <v>148694186</v>
      </c>
      <c r="AZ8" s="1186">
        <f t="shared" si="2"/>
        <v>226988375.4</v>
      </c>
      <c r="BA8" s="1204">
        <f t="shared" si="3"/>
        <v>196455255.04</v>
      </c>
    </row>
    <row r="9" spans="1:53" ht="14.25">
      <c r="A9" s="493" t="s">
        <v>245</v>
      </c>
      <c r="B9" s="1112"/>
      <c r="C9" s="86"/>
      <c r="D9" s="85"/>
      <c r="E9" s="108"/>
      <c r="F9" s="448"/>
      <c r="G9" s="86"/>
      <c r="H9" s="85"/>
      <c r="I9" s="108"/>
      <c r="J9" s="448"/>
      <c r="K9" s="108"/>
      <c r="L9" s="448"/>
      <c r="M9" s="108"/>
      <c r="N9" s="448"/>
      <c r="O9" s="108"/>
      <c r="P9" s="448"/>
      <c r="Q9" s="108"/>
      <c r="R9" s="448"/>
      <c r="S9" s="108"/>
      <c r="T9" s="448"/>
      <c r="U9" s="108"/>
      <c r="V9" s="448"/>
      <c r="W9" s="108"/>
      <c r="X9" s="448"/>
      <c r="Y9" s="108"/>
      <c r="Z9" s="448"/>
      <c r="AA9" s="108"/>
      <c r="AB9" s="448"/>
      <c r="AC9" s="108"/>
      <c r="AD9" s="448"/>
      <c r="AE9" s="108"/>
      <c r="AF9" s="448"/>
      <c r="AG9" s="108"/>
      <c r="AH9" s="448"/>
      <c r="AI9" s="108"/>
      <c r="AJ9" s="448"/>
      <c r="AK9" s="108"/>
      <c r="AL9" s="448"/>
      <c r="AM9" s="108"/>
      <c r="AN9" s="448">
        <v>33653</v>
      </c>
      <c r="AO9" s="108">
        <v>33600</v>
      </c>
      <c r="AP9" s="448"/>
      <c r="AQ9" s="108"/>
      <c r="AR9" s="448"/>
      <c r="AS9" s="108"/>
      <c r="AT9" s="448"/>
      <c r="AU9" s="108"/>
      <c r="AV9" s="1226">
        <f t="shared" si="0"/>
        <v>33653</v>
      </c>
      <c r="AW9" s="1225">
        <f t="shared" si="1"/>
        <v>33600</v>
      </c>
      <c r="AX9" s="1205"/>
      <c r="AY9" s="1184"/>
      <c r="AZ9" s="1186">
        <f t="shared" si="2"/>
        <v>33653</v>
      </c>
      <c r="BA9" s="1204">
        <f t="shared" si="3"/>
        <v>33600</v>
      </c>
    </row>
    <row r="10" spans="1:53" ht="14.25">
      <c r="A10" s="493" t="s">
        <v>246</v>
      </c>
      <c r="B10" s="1112"/>
      <c r="C10" s="862"/>
      <c r="D10" s="1213"/>
      <c r="E10" s="108"/>
      <c r="F10" s="448"/>
      <c r="G10" s="864"/>
      <c r="H10" s="1212"/>
      <c r="I10" s="108"/>
      <c r="J10" s="448"/>
      <c r="K10" s="108"/>
      <c r="L10" s="448"/>
      <c r="M10" s="108"/>
      <c r="N10" s="448"/>
      <c r="O10" s="108"/>
      <c r="P10" s="448"/>
      <c r="Q10" s="108"/>
      <c r="R10" s="448"/>
      <c r="S10" s="108"/>
      <c r="T10" s="448"/>
      <c r="U10" s="108"/>
      <c r="V10" s="448"/>
      <c r="W10" s="108"/>
      <c r="X10" s="448">
        <v>7033</v>
      </c>
      <c r="Y10" s="108">
        <v>7055</v>
      </c>
      <c r="Z10" s="448"/>
      <c r="AA10" s="108"/>
      <c r="AB10" s="448"/>
      <c r="AC10" s="108"/>
      <c r="AD10" s="448"/>
      <c r="AE10" s="108"/>
      <c r="AF10" s="448"/>
      <c r="AG10" s="108"/>
      <c r="AH10" s="448"/>
      <c r="AI10" s="108"/>
      <c r="AJ10" s="448"/>
      <c r="AK10" s="108"/>
      <c r="AL10" s="448"/>
      <c r="AM10" s="108"/>
      <c r="AN10" s="448">
        <v>894</v>
      </c>
      <c r="AO10" s="108">
        <v>895</v>
      </c>
      <c r="AP10" s="448"/>
      <c r="AQ10" s="108"/>
      <c r="AR10" s="448"/>
      <c r="AS10" s="108"/>
      <c r="AT10" s="448"/>
      <c r="AU10" s="108"/>
      <c r="AV10" s="1226">
        <f t="shared" si="0"/>
        <v>7927</v>
      </c>
      <c r="AW10" s="1225">
        <f t="shared" si="1"/>
        <v>7950</v>
      </c>
      <c r="AX10" s="1205"/>
      <c r="AY10" s="1184"/>
      <c r="AZ10" s="1186">
        <f t="shared" si="2"/>
        <v>7927</v>
      </c>
      <c r="BA10" s="1204">
        <f t="shared" si="3"/>
        <v>7950</v>
      </c>
    </row>
    <row r="11" spans="1:53" ht="14.25">
      <c r="A11" s="493" t="s">
        <v>247</v>
      </c>
      <c r="B11" s="1112"/>
      <c r="C11" s="108"/>
      <c r="D11" s="448"/>
      <c r="E11" s="108"/>
      <c r="F11" s="448"/>
      <c r="G11" s="108"/>
      <c r="H11" s="448"/>
      <c r="I11" s="108"/>
      <c r="J11" s="448"/>
      <c r="K11" s="108"/>
      <c r="L11" s="448"/>
      <c r="M11" s="108"/>
      <c r="N11" s="448"/>
      <c r="O11" s="108"/>
      <c r="P11" s="448"/>
      <c r="Q11" s="108"/>
      <c r="R11" s="448"/>
      <c r="S11" s="108"/>
      <c r="T11" s="448"/>
      <c r="U11" s="108"/>
      <c r="V11" s="448"/>
      <c r="W11" s="108"/>
      <c r="X11" s="448"/>
      <c r="Y11" s="108"/>
      <c r="Z11" s="448"/>
      <c r="AA11" s="108"/>
      <c r="AB11" s="448"/>
      <c r="AC11" s="108"/>
      <c r="AD11" s="448"/>
      <c r="AE11" s="108"/>
      <c r="AF11" s="448"/>
      <c r="AG11" s="108"/>
      <c r="AH11" s="448"/>
      <c r="AI11" s="108"/>
      <c r="AJ11" s="448"/>
      <c r="AK11" s="108"/>
      <c r="AL11" s="448"/>
      <c r="AM11" s="108"/>
      <c r="AN11" s="448"/>
      <c r="AO11" s="108"/>
      <c r="AP11" s="448"/>
      <c r="AQ11" s="108"/>
      <c r="AR11" s="448"/>
      <c r="AS11" s="108"/>
      <c r="AT11" s="448"/>
      <c r="AU11" s="108"/>
      <c r="AV11" s="1226">
        <f t="shared" si="0"/>
        <v>0</v>
      </c>
      <c r="AW11" s="1225">
        <f t="shared" si="1"/>
        <v>0</v>
      </c>
      <c r="AX11" s="1205"/>
      <c r="AY11" s="1184"/>
      <c r="AZ11" s="1186">
        <f t="shared" si="2"/>
        <v>0</v>
      </c>
      <c r="BA11" s="1204">
        <f t="shared" si="3"/>
        <v>0</v>
      </c>
    </row>
    <row r="12" spans="1:53" ht="14.25">
      <c r="A12" s="493" t="s">
        <v>248</v>
      </c>
      <c r="B12" s="1112"/>
      <c r="C12" s="864"/>
      <c r="D12" s="1212"/>
      <c r="E12" s="108"/>
      <c r="F12" s="448"/>
      <c r="G12" s="864"/>
      <c r="H12" s="1212"/>
      <c r="I12" s="108"/>
      <c r="J12" s="448"/>
      <c r="K12" s="108"/>
      <c r="L12" s="448"/>
      <c r="M12" s="108"/>
      <c r="N12" s="448"/>
      <c r="O12" s="108"/>
      <c r="P12" s="448"/>
      <c r="Q12" s="108"/>
      <c r="R12" s="448"/>
      <c r="S12" s="108"/>
      <c r="T12" s="448"/>
      <c r="U12" s="108"/>
      <c r="V12" s="448"/>
      <c r="W12" s="108"/>
      <c r="X12" s="448"/>
      <c r="Y12" s="108"/>
      <c r="Z12" s="448"/>
      <c r="AA12" s="108"/>
      <c r="AB12" s="448"/>
      <c r="AC12" s="108"/>
      <c r="AD12" s="448"/>
      <c r="AE12" s="108"/>
      <c r="AF12" s="448"/>
      <c r="AG12" s="108"/>
      <c r="AH12" s="448"/>
      <c r="AI12" s="108"/>
      <c r="AJ12" s="448"/>
      <c r="AK12" s="108"/>
      <c r="AL12" s="448"/>
      <c r="AM12" s="108"/>
      <c r="AN12" s="448"/>
      <c r="AO12" s="108"/>
      <c r="AP12" s="448"/>
      <c r="AQ12" s="108"/>
      <c r="AR12" s="448"/>
      <c r="AS12" s="108"/>
      <c r="AT12" s="448"/>
      <c r="AU12" s="108"/>
      <c r="AV12" s="1226">
        <f t="shared" si="0"/>
        <v>0</v>
      </c>
      <c r="AW12" s="1225">
        <f t="shared" si="1"/>
        <v>0</v>
      </c>
      <c r="AX12" s="1205"/>
      <c r="AY12" s="1184"/>
      <c r="AZ12" s="1186">
        <f t="shared" si="2"/>
        <v>0</v>
      </c>
      <c r="BA12" s="1204">
        <f t="shared" si="3"/>
        <v>0</v>
      </c>
    </row>
    <row r="13" spans="1:53" ht="14.25">
      <c r="A13" s="493" t="s">
        <v>249</v>
      </c>
      <c r="B13" s="1112"/>
      <c r="C13" s="864"/>
      <c r="D13" s="1212"/>
      <c r="E13" s="108"/>
      <c r="F13" s="448"/>
      <c r="G13" s="864"/>
      <c r="H13" s="1212"/>
      <c r="I13" s="108"/>
      <c r="J13" s="448"/>
      <c r="K13" s="108"/>
      <c r="L13" s="448"/>
      <c r="M13" s="108"/>
      <c r="N13" s="448"/>
      <c r="O13" s="108"/>
      <c r="P13" s="448"/>
      <c r="Q13" s="108"/>
      <c r="R13" s="448"/>
      <c r="S13" s="108"/>
      <c r="T13" s="448"/>
      <c r="U13" s="108"/>
      <c r="V13" s="448"/>
      <c r="W13" s="108"/>
      <c r="X13" s="448"/>
      <c r="Y13" s="108"/>
      <c r="Z13" s="448"/>
      <c r="AA13" s="108"/>
      <c r="AB13" s="448"/>
      <c r="AC13" s="108"/>
      <c r="AD13" s="448"/>
      <c r="AE13" s="108"/>
      <c r="AF13" s="448"/>
      <c r="AG13" s="108"/>
      <c r="AH13" s="448"/>
      <c r="AI13" s="108"/>
      <c r="AJ13" s="448"/>
      <c r="AK13" s="108"/>
      <c r="AL13" s="448"/>
      <c r="AM13" s="108"/>
      <c r="AN13" s="448"/>
      <c r="AO13" s="108"/>
      <c r="AP13" s="448">
        <v>305053</v>
      </c>
      <c r="AQ13" s="108">
        <v>371095</v>
      </c>
      <c r="AR13" s="448"/>
      <c r="AS13" s="108"/>
      <c r="AT13" s="448"/>
      <c r="AU13" s="108"/>
      <c r="AV13" s="1226">
        <f t="shared" si="0"/>
        <v>305053</v>
      </c>
      <c r="AW13" s="1225">
        <f t="shared" si="1"/>
        <v>371095</v>
      </c>
      <c r="AX13" s="1205">
        <v>1</v>
      </c>
      <c r="AY13" s="1184">
        <v>1</v>
      </c>
      <c r="AZ13" s="1186">
        <f t="shared" si="2"/>
        <v>305054</v>
      </c>
      <c r="BA13" s="1204">
        <f t="shared" si="3"/>
        <v>371096</v>
      </c>
    </row>
    <row r="14" spans="1:53" ht="14.25">
      <c r="A14" s="493" t="s">
        <v>577</v>
      </c>
      <c r="B14" s="1112"/>
      <c r="C14" s="864"/>
      <c r="D14" s="1212"/>
      <c r="E14" s="108"/>
      <c r="F14" s="448"/>
      <c r="G14" s="864"/>
      <c r="H14" s="1212"/>
      <c r="I14" s="108"/>
      <c r="J14" s="448"/>
      <c r="K14" s="108"/>
      <c r="L14" s="448"/>
      <c r="M14" s="108"/>
      <c r="N14" s="448"/>
      <c r="O14" s="108"/>
      <c r="P14" s="448"/>
      <c r="Q14" s="108"/>
      <c r="R14" s="448"/>
      <c r="S14" s="108"/>
      <c r="T14" s="448"/>
      <c r="U14" s="108"/>
      <c r="V14" s="448"/>
      <c r="W14" s="108"/>
      <c r="X14" s="448"/>
      <c r="Y14" s="108"/>
      <c r="Z14" s="448"/>
      <c r="AA14" s="108"/>
      <c r="AB14" s="448"/>
      <c r="AC14" s="108"/>
      <c r="AD14" s="448"/>
      <c r="AE14" s="108"/>
      <c r="AF14" s="448"/>
      <c r="AG14" s="108"/>
      <c r="AH14" s="448"/>
      <c r="AI14" s="108"/>
      <c r="AJ14" s="448"/>
      <c r="AK14" s="108"/>
      <c r="AL14" s="448"/>
      <c r="AM14" s="108"/>
      <c r="AN14" s="448"/>
      <c r="AO14" s="108"/>
      <c r="AP14" s="448"/>
      <c r="AQ14" s="108"/>
      <c r="AR14" s="448"/>
      <c r="AS14" s="108"/>
      <c r="AT14" s="448"/>
      <c r="AU14" s="108"/>
      <c r="AV14" s="1226"/>
      <c r="AW14" s="1225"/>
      <c r="AX14" s="1205"/>
      <c r="AY14" s="1184"/>
      <c r="AZ14" s="1186"/>
      <c r="BA14" s="1204"/>
    </row>
    <row r="15" spans="1:53" ht="14.25">
      <c r="A15" s="493" t="s">
        <v>578</v>
      </c>
      <c r="B15" s="1112"/>
      <c r="C15" s="864"/>
      <c r="D15" s="1212"/>
      <c r="E15" s="108"/>
      <c r="F15" s="448"/>
      <c r="G15" s="864"/>
      <c r="H15" s="1212"/>
      <c r="I15" s="108"/>
      <c r="J15" s="448"/>
      <c r="K15" s="108"/>
      <c r="L15" s="448"/>
      <c r="M15" s="108"/>
      <c r="N15" s="448"/>
      <c r="O15" s="108"/>
      <c r="P15" s="448"/>
      <c r="Q15" s="108"/>
      <c r="R15" s="448"/>
      <c r="S15" s="108"/>
      <c r="T15" s="448"/>
      <c r="U15" s="108"/>
      <c r="V15" s="448"/>
      <c r="W15" s="108"/>
      <c r="X15" s="448"/>
      <c r="Y15" s="108"/>
      <c r="Z15" s="448"/>
      <c r="AA15" s="108"/>
      <c r="AB15" s="448"/>
      <c r="AC15" s="108"/>
      <c r="AD15" s="448"/>
      <c r="AE15" s="108"/>
      <c r="AF15" s="448"/>
      <c r="AG15" s="108"/>
      <c r="AH15" s="448"/>
      <c r="AI15" s="108"/>
      <c r="AJ15" s="448"/>
      <c r="AK15" s="108"/>
      <c r="AL15" s="448"/>
      <c r="AM15" s="108"/>
      <c r="AN15" s="448"/>
      <c r="AO15" s="108"/>
      <c r="AP15" s="448"/>
      <c r="AQ15" s="108"/>
      <c r="AR15" s="448"/>
      <c r="AS15" s="108"/>
      <c r="AT15" s="448"/>
      <c r="AU15" s="108"/>
      <c r="AV15" s="1226"/>
      <c r="AW15" s="1225"/>
      <c r="AX15" s="1205">
        <v>68513474</v>
      </c>
      <c r="AY15" s="1184">
        <v>107889861</v>
      </c>
      <c r="AZ15" s="1186"/>
      <c r="BA15" s="1204"/>
    </row>
    <row r="16" spans="1:53" ht="14.25">
      <c r="A16" s="493" t="s">
        <v>74</v>
      </c>
      <c r="B16" s="1112"/>
      <c r="C16" s="864"/>
      <c r="D16" s="1212"/>
      <c r="E16" s="108"/>
      <c r="F16" s="448"/>
      <c r="G16" s="864"/>
      <c r="H16" s="1212"/>
      <c r="I16" s="108"/>
      <c r="J16" s="448"/>
      <c r="K16" s="108"/>
      <c r="L16" s="448"/>
      <c r="M16" s="108"/>
      <c r="N16" s="448"/>
      <c r="O16" s="108"/>
      <c r="P16" s="448"/>
      <c r="Q16" s="108"/>
      <c r="R16" s="448"/>
      <c r="S16" s="108"/>
      <c r="T16" s="448"/>
      <c r="U16" s="108"/>
      <c r="V16" s="448"/>
      <c r="W16" s="108"/>
      <c r="X16" s="448"/>
      <c r="Y16" s="108"/>
      <c r="Z16" s="448"/>
      <c r="AA16" s="108"/>
      <c r="AB16" s="448"/>
      <c r="AC16" s="108"/>
      <c r="AD16" s="448"/>
      <c r="AE16" s="108"/>
      <c r="AF16" s="448"/>
      <c r="AG16" s="108"/>
      <c r="AH16" s="448"/>
      <c r="AI16" s="108"/>
      <c r="AJ16" s="448"/>
      <c r="AK16" s="108"/>
      <c r="AL16" s="448"/>
      <c r="AM16" s="108"/>
      <c r="AN16" s="448"/>
      <c r="AO16" s="108"/>
      <c r="AP16" s="448"/>
      <c r="AQ16" s="108"/>
      <c r="AR16" s="448"/>
      <c r="AS16" s="108"/>
      <c r="AT16" s="448"/>
      <c r="AU16" s="108"/>
      <c r="AV16" s="1226">
        <f t="shared" si="0"/>
        <v>0</v>
      </c>
      <c r="AW16" s="1225">
        <f t="shared" si="1"/>
        <v>0</v>
      </c>
      <c r="AX16" s="1205">
        <v>3647772</v>
      </c>
      <c r="AY16" s="1184">
        <v>4346467</v>
      </c>
      <c r="AZ16" s="1186">
        <f t="shared" si="2"/>
        <v>3647772</v>
      </c>
      <c r="BA16" s="1204">
        <f t="shared" si="3"/>
        <v>4346467</v>
      </c>
    </row>
    <row r="17" spans="1:53" s="95" customFormat="1" ht="14.25">
      <c r="A17" s="493" t="s">
        <v>250</v>
      </c>
      <c r="B17" s="1112">
        <v>2554156</v>
      </c>
      <c r="C17" s="1209">
        <f>SUM(C3:C16)</f>
        <v>4409316</v>
      </c>
      <c r="D17" s="1207">
        <v>384752</v>
      </c>
      <c r="E17" s="1209">
        <f aca="true" t="shared" si="4" ref="E17:O17">SUM(E3:E16)</f>
        <v>521564</v>
      </c>
      <c r="F17" s="1207">
        <v>736329</v>
      </c>
      <c r="G17" s="1209">
        <f t="shared" si="4"/>
        <v>697796</v>
      </c>
      <c r="H17" s="1207">
        <v>3945088</v>
      </c>
      <c r="I17" s="1209">
        <f t="shared" si="4"/>
        <v>2829156</v>
      </c>
      <c r="J17" s="1207">
        <v>928696</v>
      </c>
      <c r="K17" s="1209">
        <f t="shared" si="4"/>
        <v>2255904</v>
      </c>
      <c r="L17" s="1207">
        <v>2715642</v>
      </c>
      <c r="M17" s="1209">
        <f t="shared" si="4"/>
        <v>1681610</v>
      </c>
      <c r="N17" s="1207">
        <v>481333</v>
      </c>
      <c r="O17" s="1209">
        <f t="shared" si="4"/>
        <v>634937</v>
      </c>
      <c r="P17" s="1207">
        <v>950955</v>
      </c>
      <c r="Q17" s="1209">
        <f aca="true" t="shared" si="5" ref="Q17:AU17">SUM(Q3:Q16)</f>
        <v>904592</v>
      </c>
      <c r="R17" s="1207">
        <v>2897760</v>
      </c>
      <c r="S17" s="1209">
        <f t="shared" si="5"/>
        <v>2550411</v>
      </c>
      <c r="T17" s="1207">
        <v>1093421</v>
      </c>
      <c r="U17" s="1209">
        <f t="shared" si="5"/>
        <v>679491</v>
      </c>
      <c r="V17" s="1207">
        <v>10355595</v>
      </c>
      <c r="W17" s="1209">
        <f t="shared" si="5"/>
        <v>6798682</v>
      </c>
      <c r="X17" s="1207">
        <v>5583418</v>
      </c>
      <c r="Y17" s="1209">
        <f t="shared" si="5"/>
        <v>8119160</v>
      </c>
      <c r="Z17" s="1207">
        <v>962488</v>
      </c>
      <c r="AA17" s="1209">
        <f t="shared" si="5"/>
        <v>810612</v>
      </c>
      <c r="AB17" s="1207">
        <v>1964826.79</v>
      </c>
      <c r="AC17" s="1209">
        <f t="shared" si="5"/>
        <v>1424910.01</v>
      </c>
      <c r="AD17" s="1207">
        <v>4869881</v>
      </c>
      <c r="AE17" s="1209">
        <f t="shared" si="5"/>
        <v>3672926</v>
      </c>
      <c r="AF17" s="1207">
        <v>5792342</v>
      </c>
      <c r="AG17" s="1209">
        <f t="shared" si="5"/>
        <v>4059852</v>
      </c>
      <c r="AH17" s="1207"/>
      <c r="AI17" s="1209">
        <f t="shared" si="5"/>
        <v>3294090</v>
      </c>
      <c r="AJ17" s="1207">
        <v>2941149</v>
      </c>
      <c r="AK17" s="1209">
        <f t="shared" si="5"/>
        <v>2340325</v>
      </c>
      <c r="AL17" s="1207"/>
      <c r="AM17" s="1209">
        <f t="shared" si="5"/>
        <v>0</v>
      </c>
      <c r="AN17" s="1207">
        <v>27105185</v>
      </c>
      <c r="AO17" s="1209">
        <f t="shared" si="5"/>
        <v>14232265</v>
      </c>
      <c r="AP17" s="1207">
        <v>1960099</v>
      </c>
      <c r="AQ17" s="1209">
        <f t="shared" si="5"/>
        <v>1152524</v>
      </c>
      <c r="AR17" s="1207">
        <v>1884140</v>
      </c>
      <c r="AS17" s="1209">
        <f t="shared" si="5"/>
        <v>366691</v>
      </c>
      <c r="AT17" s="1207">
        <v>6044760</v>
      </c>
      <c r="AU17" s="1209">
        <f t="shared" si="5"/>
        <v>3514153</v>
      </c>
      <c r="AV17" s="1226">
        <f t="shared" si="0"/>
        <v>86152015.78999999</v>
      </c>
      <c r="AW17" s="1225">
        <f t="shared" si="1"/>
        <v>66950967.01</v>
      </c>
      <c r="AX17" s="1205">
        <v>302932545</v>
      </c>
      <c r="AY17" s="1203">
        <v>285812324</v>
      </c>
      <c r="AZ17" s="1186">
        <f t="shared" si="2"/>
        <v>389084560.78999996</v>
      </c>
      <c r="BA17" s="1204">
        <f t="shared" si="3"/>
        <v>352763291.01</v>
      </c>
    </row>
    <row r="18" spans="1:53" ht="14.25">
      <c r="A18" s="493" t="s">
        <v>251</v>
      </c>
      <c r="B18" s="1112"/>
      <c r="C18" s="864"/>
      <c r="D18" s="1212"/>
      <c r="E18" s="108"/>
      <c r="F18" s="448"/>
      <c r="G18" s="864"/>
      <c r="H18" s="1212"/>
      <c r="I18" s="108"/>
      <c r="J18" s="448"/>
      <c r="K18" s="108"/>
      <c r="L18" s="448"/>
      <c r="M18" s="108"/>
      <c r="N18" s="448"/>
      <c r="O18" s="108"/>
      <c r="P18" s="448"/>
      <c r="Q18" s="108"/>
      <c r="R18" s="448">
        <v>11</v>
      </c>
      <c r="S18" s="108">
        <v>11</v>
      </c>
      <c r="T18" s="448"/>
      <c r="U18" s="108"/>
      <c r="V18" s="448"/>
      <c r="W18" s="108"/>
      <c r="X18" s="448"/>
      <c r="Y18" s="108">
        <v>198</v>
      </c>
      <c r="Z18" s="448"/>
      <c r="AA18" s="108"/>
      <c r="AB18" s="448">
        <v>4809.75</v>
      </c>
      <c r="AC18" s="108">
        <v>7006.31</v>
      </c>
      <c r="AD18" s="448"/>
      <c r="AE18" s="108"/>
      <c r="AF18" s="448"/>
      <c r="AG18" s="108"/>
      <c r="AH18" s="448"/>
      <c r="AI18" s="108"/>
      <c r="AJ18" s="448"/>
      <c r="AK18" s="108"/>
      <c r="AL18" s="448"/>
      <c r="AM18" s="108"/>
      <c r="AN18" s="448"/>
      <c r="AO18" s="108"/>
      <c r="AP18" s="448"/>
      <c r="AQ18" s="108"/>
      <c r="AR18" s="448"/>
      <c r="AS18" s="108"/>
      <c r="AT18" s="448"/>
      <c r="AU18" s="108"/>
      <c r="AV18" s="1226">
        <f t="shared" si="0"/>
        <v>4820.75</v>
      </c>
      <c r="AW18" s="1225">
        <f t="shared" si="1"/>
        <v>7215.31</v>
      </c>
      <c r="AX18" s="1205"/>
      <c r="AY18" s="1184"/>
      <c r="AZ18" s="1186">
        <f t="shared" si="2"/>
        <v>4820.75</v>
      </c>
      <c r="BA18" s="1204">
        <f t="shared" si="3"/>
        <v>7215.31</v>
      </c>
    </row>
    <row r="19" spans="1:53" ht="14.25" hidden="1">
      <c r="A19" s="440"/>
      <c r="B19" s="1206"/>
      <c r="C19" s="108"/>
      <c r="D19" s="448"/>
      <c r="E19" s="108"/>
      <c r="F19" s="448"/>
      <c r="G19" s="108"/>
      <c r="H19" s="448"/>
      <c r="I19" s="108"/>
      <c r="J19" s="448"/>
      <c r="K19" s="108"/>
      <c r="L19" s="448"/>
      <c r="M19" s="108"/>
      <c r="N19" s="448"/>
      <c r="O19" s="108"/>
      <c r="P19" s="448"/>
      <c r="Q19" s="108"/>
      <c r="R19" s="448"/>
      <c r="S19" s="108"/>
      <c r="T19" s="448"/>
      <c r="U19" s="108"/>
      <c r="V19" s="448"/>
      <c r="W19" s="108"/>
      <c r="X19" s="448"/>
      <c r="Y19" s="108"/>
      <c r="Z19" s="448"/>
      <c r="AA19" s="108"/>
      <c r="AB19" s="448"/>
      <c r="AC19" s="108"/>
      <c r="AD19" s="448"/>
      <c r="AE19" s="108"/>
      <c r="AF19" s="448"/>
      <c r="AG19" s="108"/>
      <c r="AH19" s="448"/>
      <c r="AI19" s="108"/>
      <c r="AJ19" s="448"/>
      <c r="AK19" s="108"/>
      <c r="AL19" s="448"/>
      <c r="AM19" s="108"/>
      <c r="AN19" s="448"/>
      <c r="AO19" s="108"/>
      <c r="AP19" s="448"/>
      <c r="AQ19" s="108"/>
      <c r="AR19" s="448"/>
      <c r="AS19" s="108"/>
      <c r="AT19" s="448"/>
      <c r="AU19" s="108"/>
      <c r="AV19" s="1226">
        <f t="shared" si="0"/>
        <v>0</v>
      </c>
      <c r="AW19" s="1225">
        <f t="shared" si="1"/>
        <v>0</v>
      </c>
      <c r="AX19" s="1205"/>
      <c r="AY19" s="1184"/>
      <c r="AZ19" s="1186">
        <f t="shared" si="2"/>
        <v>0</v>
      </c>
      <c r="BA19" s="1204">
        <f t="shared" si="3"/>
        <v>0</v>
      </c>
    </row>
    <row r="20" spans="1:53" ht="14.25">
      <c r="A20" s="493" t="s">
        <v>155</v>
      </c>
      <c r="B20" s="1112"/>
      <c r="C20" s="108"/>
      <c r="D20" s="448"/>
      <c r="E20" s="108"/>
      <c r="F20" s="448"/>
      <c r="G20" s="108"/>
      <c r="H20" s="448"/>
      <c r="I20" s="1211"/>
      <c r="J20" s="1210"/>
      <c r="K20" s="108"/>
      <c r="L20" s="448"/>
      <c r="M20" s="108"/>
      <c r="N20" s="448"/>
      <c r="O20" s="108"/>
      <c r="P20" s="448"/>
      <c r="Q20" s="108"/>
      <c r="R20" s="448"/>
      <c r="S20" s="108"/>
      <c r="T20" s="448"/>
      <c r="U20" s="108"/>
      <c r="V20" s="448"/>
      <c r="W20" s="108"/>
      <c r="X20" s="448"/>
      <c r="Y20" s="108"/>
      <c r="Z20" s="448"/>
      <c r="AA20" s="108"/>
      <c r="AB20" s="448"/>
      <c r="AC20" s="108"/>
      <c r="AD20" s="448"/>
      <c r="AE20" s="108"/>
      <c r="AF20" s="448"/>
      <c r="AG20" s="108"/>
      <c r="AH20" s="448"/>
      <c r="AI20" s="108"/>
      <c r="AJ20" s="448"/>
      <c r="AK20" s="108"/>
      <c r="AL20" s="448"/>
      <c r="AM20" s="108"/>
      <c r="AN20" s="448"/>
      <c r="AO20" s="108"/>
      <c r="AP20" s="448"/>
      <c r="AQ20" s="108"/>
      <c r="AR20" s="448"/>
      <c r="AS20" s="108"/>
      <c r="AT20" s="448"/>
      <c r="AU20" s="108"/>
      <c r="AV20" s="1226">
        <f t="shared" si="0"/>
        <v>0</v>
      </c>
      <c r="AW20" s="1225">
        <f t="shared" si="1"/>
        <v>0</v>
      </c>
      <c r="AX20" s="1205"/>
      <c r="AY20" s="1184"/>
      <c r="AZ20" s="1186">
        <f t="shared" si="2"/>
        <v>0</v>
      </c>
      <c r="BA20" s="1204">
        <f t="shared" si="3"/>
        <v>0</v>
      </c>
    </row>
    <row r="21" spans="1:53" s="95" customFormat="1" ht="14.25">
      <c r="A21" s="493" t="s">
        <v>56</v>
      </c>
      <c r="B21" s="1112">
        <v>2554156</v>
      </c>
      <c r="C21" s="1209">
        <f>C17</f>
        <v>4409316</v>
      </c>
      <c r="D21" s="1207">
        <v>384752</v>
      </c>
      <c r="E21" s="1202">
        <f>E17</f>
        <v>521564</v>
      </c>
      <c r="F21" s="1208">
        <v>736329</v>
      </c>
      <c r="G21" s="1202">
        <f>G17</f>
        <v>697796</v>
      </c>
      <c r="H21" s="1208">
        <v>3945088</v>
      </c>
      <c r="I21" s="1202">
        <f>I17</f>
        <v>2829156</v>
      </c>
      <c r="J21" s="1208">
        <v>928696</v>
      </c>
      <c r="K21" s="1202">
        <f>K17</f>
        <v>2255904</v>
      </c>
      <c r="L21" s="1208">
        <v>2715642</v>
      </c>
      <c r="M21" s="1202">
        <f>M17</f>
        <v>1681610</v>
      </c>
      <c r="N21" s="1208">
        <v>481333</v>
      </c>
      <c r="O21" s="1202">
        <f>O17</f>
        <v>634937</v>
      </c>
      <c r="P21" s="1393">
        <f>P17</f>
        <v>950955</v>
      </c>
      <c r="Q21" s="1202">
        <f>Q17</f>
        <v>904592</v>
      </c>
      <c r="R21" s="1208">
        <v>2897760</v>
      </c>
      <c r="S21" s="1202">
        <f>S17</f>
        <v>2550411</v>
      </c>
      <c r="T21" s="1208">
        <v>1093421</v>
      </c>
      <c r="U21" s="1202">
        <f>U17</f>
        <v>679491</v>
      </c>
      <c r="V21" s="1208">
        <v>10352873</v>
      </c>
      <c r="W21" s="1202">
        <v>6796204</v>
      </c>
      <c r="X21" s="1208">
        <v>5578530</v>
      </c>
      <c r="Y21" s="1202">
        <v>8112937</v>
      </c>
      <c r="Z21" s="1208">
        <v>962488</v>
      </c>
      <c r="AA21" s="1202">
        <f>AA17</f>
        <v>810612</v>
      </c>
      <c r="AB21" s="1208">
        <v>1964826.79</v>
      </c>
      <c r="AC21" s="1202">
        <f>AC17</f>
        <v>1424910.01</v>
      </c>
      <c r="AD21" s="1208">
        <v>4869881</v>
      </c>
      <c r="AE21" s="1202">
        <f>AE17</f>
        <v>3672926</v>
      </c>
      <c r="AF21" s="1208">
        <v>5792342</v>
      </c>
      <c r="AG21" s="1202">
        <f>AG17</f>
        <v>4059852</v>
      </c>
      <c r="AH21" s="1208"/>
      <c r="AI21" s="1202">
        <f>AI17</f>
        <v>3294090</v>
      </c>
      <c r="AJ21" s="1208">
        <v>2938762</v>
      </c>
      <c r="AK21" s="1202">
        <v>2338518</v>
      </c>
      <c r="AL21" s="1208"/>
      <c r="AM21" s="1202">
        <f>AM17</f>
        <v>0</v>
      </c>
      <c r="AN21" s="1208">
        <v>27105185</v>
      </c>
      <c r="AO21" s="1202">
        <v>14153712</v>
      </c>
      <c r="AP21" s="1208">
        <v>1960099</v>
      </c>
      <c r="AQ21" s="1202">
        <f>AQ17</f>
        <v>1152524</v>
      </c>
      <c r="AR21" s="1208">
        <v>1884140</v>
      </c>
      <c r="AS21" s="1202">
        <f>AS17</f>
        <v>366691</v>
      </c>
      <c r="AT21" s="1208">
        <v>6044760</v>
      </c>
      <c r="AU21" s="1202">
        <f>AU17</f>
        <v>3514153</v>
      </c>
      <c r="AV21" s="1226">
        <f t="shared" si="0"/>
        <v>86142018.78999999</v>
      </c>
      <c r="AW21" s="1225">
        <f t="shared" si="1"/>
        <v>66861906.01</v>
      </c>
      <c r="AX21" s="1205">
        <v>301640729</v>
      </c>
      <c r="AY21" s="1203">
        <v>284987283</v>
      </c>
      <c r="AZ21" s="1186">
        <f t="shared" si="2"/>
        <v>387782747.78999996</v>
      </c>
      <c r="BA21" s="1204">
        <f t="shared" si="3"/>
        <v>351849189.01</v>
      </c>
    </row>
    <row r="22" spans="1:53" ht="14.25">
      <c r="A22" s="493" t="s">
        <v>57</v>
      </c>
      <c r="B22" s="1112"/>
      <c r="C22" s="86"/>
      <c r="D22" s="85"/>
      <c r="E22" s="108"/>
      <c r="F22" s="448"/>
      <c r="G22" s="86"/>
      <c r="H22" s="85"/>
      <c r="I22" s="108"/>
      <c r="J22" s="448"/>
      <c r="K22" s="108"/>
      <c r="L22" s="448"/>
      <c r="M22" s="108"/>
      <c r="N22" s="448"/>
      <c r="O22" s="108"/>
      <c r="P22" s="448"/>
      <c r="Q22" s="108"/>
      <c r="R22" s="448"/>
      <c r="S22" s="108"/>
      <c r="T22" s="448"/>
      <c r="U22" s="108"/>
      <c r="V22" s="448">
        <v>2722</v>
      </c>
      <c r="W22" s="108">
        <v>2478</v>
      </c>
      <c r="X22" s="448">
        <v>4888</v>
      </c>
      <c r="Y22" s="108">
        <v>6223</v>
      </c>
      <c r="Z22" s="448"/>
      <c r="AA22" s="108"/>
      <c r="AB22" s="448"/>
      <c r="AC22" s="108"/>
      <c r="AD22" s="448"/>
      <c r="AE22" s="108"/>
      <c r="AF22" s="448"/>
      <c r="AG22" s="108"/>
      <c r="AH22" s="448"/>
      <c r="AI22" s="108"/>
      <c r="AJ22" s="448">
        <v>2387</v>
      </c>
      <c r="AK22" s="108">
        <v>1807</v>
      </c>
      <c r="AL22" s="448"/>
      <c r="AM22" s="108"/>
      <c r="AN22" s="448"/>
      <c r="AO22" s="108">
        <v>78553</v>
      </c>
      <c r="AP22" s="448"/>
      <c r="AQ22" s="108"/>
      <c r="AR22" s="448"/>
      <c r="AS22" s="108"/>
      <c r="AT22" s="448"/>
      <c r="AU22" s="108"/>
      <c r="AV22" s="1226">
        <f t="shared" si="0"/>
        <v>9997</v>
      </c>
      <c r="AW22" s="1225">
        <f t="shared" si="1"/>
        <v>89061</v>
      </c>
      <c r="AX22" s="1205">
        <v>1291816</v>
      </c>
      <c r="AY22" s="1184">
        <v>825041</v>
      </c>
      <c r="AZ22" s="1186">
        <f t="shared" si="2"/>
        <v>1301813</v>
      </c>
      <c r="BA22" s="1204">
        <f t="shared" si="3"/>
        <v>914102</v>
      </c>
    </row>
    <row r="23" spans="1:53" s="1346" customFormat="1" ht="13.5">
      <c r="A23" s="1544" t="s">
        <v>252</v>
      </c>
      <c r="B23" s="1545">
        <v>2554156</v>
      </c>
      <c r="C23" s="1546">
        <f>C17</f>
        <v>4409316</v>
      </c>
      <c r="D23" s="1547">
        <v>384752</v>
      </c>
      <c r="E23" s="1546">
        <f aca="true" t="shared" si="6" ref="E23:AS23">E17</f>
        <v>521564</v>
      </c>
      <c r="F23" s="1547">
        <v>736329</v>
      </c>
      <c r="G23" s="1546">
        <f t="shared" si="6"/>
        <v>697796</v>
      </c>
      <c r="H23" s="1547">
        <v>3945088</v>
      </c>
      <c r="I23" s="1546">
        <f t="shared" si="6"/>
        <v>2829156</v>
      </c>
      <c r="J23" s="1547">
        <v>928696</v>
      </c>
      <c r="K23" s="1546">
        <f t="shared" si="6"/>
        <v>2255904</v>
      </c>
      <c r="L23" s="1547">
        <v>2715642</v>
      </c>
      <c r="M23" s="1546">
        <f t="shared" si="6"/>
        <v>1681610</v>
      </c>
      <c r="N23" s="1547">
        <v>481333</v>
      </c>
      <c r="O23" s="1546">
        <f t="shared" si="6"/>
        <v>634937</v>
      </c>
      <c r="P23" s="1547">
        <f>P17</f>
        <v>950955</v>
      </c>
      <c r="Q23" s="1546">
        <f t="shared" si="6"/>
        <v>904592</v>
      </c>
      <c r="R23" s="1547">
        <v>2897760</v>
      </c>
      <c r="S23" s="1546">
        <f t="shared" si="6"/>
        <v>2550411</v>
      </c>
      <c r="T23" s="1547">
        <v>1093421</v>
      </c>
      <c r="U23" s="1546">
        <f t="shared" si="6"/>
        <v>679491</v>
      </c>
      <c r="V23" s="1547">
        <v>10355595</v>
      </c>
      <c r="W23" s="1546">
        <f t="shared" si="6"/>
        <v>6798682</v>
      </c>
      <c r="X23" s="1547">
        <v>5583418</v>
      </c>
      <c r="Y23" s="1546">
        <f t="shared" si="6"/>
        <v>8119160</v>
      </c>
      <c r="Z23" s="1547">
        <v>962488</v>
      </c>
      <c r="AA23" s="1546">
        <f t="shared" si="6"/>
        <v>810612</v>
      </c>
      <c r="AB23" s="1547">
        <v>1964826.79</v>
      </c>
      <c r="AC23" s="1546">
        <f t="shared" si="6"/>
        <v>1424910.01</v>
      </c>
      <c r="AD23" s="1547">
        <v>4869881</v>
      </c>
      <c r="AE23" s="1546">
        <f t="shared" si="6"/>
        <v>3672926</v>
      </c>
      <c r="AF23" s="1547">
        <v>5792342</v>
      </c>
      <c r="AG23" s="1546">
        <f t="shared" si="6"/>
        <v>4059852</v>
      </c>
      <c r="AH23" s="1547"/>
      <c r="AI23" s="1546">
        <f t="shared" si="6"/>
        <v>3294090</v>
      </c>
      <c r="AJ23" s="1547">
        <v>2941149</v>
      </c>
      <c r="AK23" s="1546">
        <f t="shared" si="6"/>
        <v>2340325</v>
      </c>
      <c r="AL23" s="1547"/>
      <c r="AM23" s="1546">
        <f t="shared" si="6"/>
        <v>0</v>
      </c>
      <c r="AN23" s="1547">
        <v>27105185</v>
      </c>
      <c r="AO23" s="1546">
        <f t="shared" si="6"/>
        <v>14232265</v>
      </c>
      <c r="AP23" s="1547">
        <v>1960099</v>
      </c>
      <c r="AQ23" s="1546">
        <f t="shared" si="6"/>
        <v>1152524</v>
      </c>
      <c r="AR23" s="1547">
        <v>1884140</v>
      </c>
      <c r="AS23" s="1546">
        <f t="shared" si="6"/>
        <v>366691</v>
      </c>
      <c r="AT23" s="1547">
        <v>6044760</v>
      </c>
      <c r="AU23" s="1548">
        <f>AU17</f>
        <v>3514153</v>
      </c>
      <c r="AV23" s="1550">
        <f t="shared" si="0"/>
        <v>86152015.78999999</v>
      </c>
      <c r="AW23" s="1551">
        <f t="shared" si="1"/>
        <v>66950967.01</v>
      </c>
      <c r="AX23" s="1547">
        <f>AX21+AX22</f>
        <v>302932545</v>
      </c>
      <c r="AY23" s="1549">
        <f>AY21+AY22</f>
        <v>285812324</v>
      </c>
      <c r="AZ23" s="1545">
        <f t="shared" si="2"/>
        <v>389084560.78999996</v>
      </c>
      <c r="BA23" s="1546">
        <f t="shared" si="3"/>
        <v>352763291.01</v>
      </c>
    </row>
    <row r="24" spans="1:53" ht="14.25">
      <c r="A24" s="493" t="s">
        <v>253</v>
      </c>
      <c r="B24" s="1112"/>
      <c r="C24" s="108"/>
      <c r="D24" s="448"/>
      <c r="E24" s="108"/>
      <c r="F24" s="448"/>
      <c r="G24" s="108"/>
      <c r="H24" s="448"/>
      <c r="I24" s="108"/>
      <c r="J24" s="448"/>
      <c r="K24" s="108"/>
      <c r="L24" s="448"/>
      <c r="M24" s="108"/>
      <c r="N24" s="448"/>
      <c r="O24" s="108"/>
      <c r="P24" s="448"/>
      <c r="Q24" s="108"/>
      <c r="R24" s="448"/>
      <c r="S24" s="108"/>
      <c r="T24" s="448"/>
      <c r="U24" s="108"/>
      <c r="V24" s="448"/>
      <c r="W24" s="108"/>
      <c r="X24" s="448"/>
      <c r="Y24" s="108"/>
      <c r="Z24" s="448"/>
      <c r="AA24" s="108"/>
      <c r="AB24" s="448"/>
      <c r="AC24" s="108"/>
      <c r="AD24" s="448"/>
      <c r="AE24" s="108"/>
      <c r="AF24" s="448"/>
      <c r="AG24" s="108"/>
      <c r="AH24" s="448"/>
      <c r="AI24" s="108"/>
      <c r="AJ24" s="448"/>
      <c r="AK24" s="108"/>
      <c r="AL24" s="448"/>
      <c r="AM24" s="108"/>
      <c r="AN24" s="448"/>
      <c r="AO24" s="108"/>
      <c r="AP24" s="448"/>
      <c r="AQ24" s="108"/>
      <c r="AR24" s="448"/>
      <c r="AS24" s="108"/>
      <c r="AT24" s="448"/>
      <c r="AU24" s="108"/>
      <c r="AV24" s="1226">
        <f t="shared" si="0"/>
        <v>0</v>
      </c>
      <c r="AW24" s="1225">
        <f t="shared" si="1"/>
        <v>0</v>
      </c>
      <c r="AX24" s="1205"/>
      <c r="AY24" s="1184"/>
      <c r="AZ24" s="1186">
        <f t="shared" si="2"/>
        <v>0</v>
      </c>
      <c r="BA24" s="1204">
        <f t="shared" si="3"/>
        <v>0</v>
      </c>
    </row>
    <row r="25" spans="1:53" ht="14.25">
      <c r="A25" s="440" t="s">
        <v>0</v>
      </c>
      <c r="B25" s="1206"/>
      <c r="C25" s="1215"/>
      <c r="D25" s="1214"/>
      <c r="E25" s="108"/>
      <c r="F25" s="448"/>
      <c r="G25" s="108"/>
      <c r="H25" s="448"/>
      <c r="I25" s="108"/>
      <c r="J25" s="448"/>
      <c r="K25" s="108"/>
      <c r="L25" s="448"/>
      <c r="M25" s="108"/>
      <c r="N25" s="448"/>
      <c r="O25" s="108"/>
      <c r="P25" s="448"/>
      <c r="Q25" s="108"/>
      <c r="R25" s="448"/>
      <c r="S25" s="108"/>
      <c r="T25" s="448"/>
      <c r="U25" s="108"/>
      <c r="V25" s="448"/>
      <c r="W25" s="108"/>
      <c r="X25" s="448"/>
      <c r="Y25" s="108"/>
      <c r="Z25" s="448"/>
      <c r="AA25" s="108"/>
      <c r="AB25" s="448"/>
      <c r="AC25" s="108"/>
      <c r="AD25" s="448"/>
      <c r="AE25" s="108"/>
      <c r="AF25" s="448"/>
      <c r="AG25" s="108"/>
      <c r="AH25" s="448"/>
      <c r="AI25" s="108"/>
      <c r="AJ25" s="448"/>
      <c r="AK25" s="108"/>
      <c r="AL25" s="448"/>
      <c r="AM25" s="108"/>
      <c r="AN25" s="448"/>
      <c r="AO25" s="108"/>
      <c r="AP25" s="448"/>
      <c r="AQ25" s="108"/>
      <c r="AR25" s="448"/>
      <c r="AS25" s="108"/>
      <c r="AT25" s="448"/>
      <c r="AU25" s="108"/>
      <c r="AV25" s="1226">
        <f t="shared" si="0"/>
        <v>0</v>
      </c>
      <c r="AW25" s="1225">
        <f t="shared" si="1"/>
        <v>0</v>
      </c>
      <c r="AX25" s="1205"/>
      <c r="AY25" s="1184"/>
      <c r="AZ25" s="1186">
        <f t="shared" si="2"/>
        <v>0</v>
      </c>
      <c r="BA25" s="1204">
        <f t="shared" si="3"/>
        <v>0</v>
      </c>
    </row>
    <row r="26" spans="1:53" ht="14.25">
      <c r="A26" s="440" t="s">
        <v>254</v>
      </c>
      <c r="B26" s="1206">
        <v>53714</v>
      </c>
      <c r="C26" s="862">
        <v>18735</v>
      </c>
      <c r="D26" s="1213"/>
      <c r="E26" s="108"/>
      <c r="F26" s="448"/>
      <c r="G26" s="862"/>
      <c r="H26" s="1213"/>
      <c r="I26" s="108"/>
      <c r="J26" s="448"/>
      <c r="K26" s="108"/>
      <c r="L26" s="448"/>
      <c r="M26" s="108"/>
      <c r="N26" s="448"/>
      <c r="O26" s="108"/>
      <c r="P26" s="448"/>
      <c r="Q26" s="108"/>
      <c r="R26" s="448"/>
      <c r="S26" s="108"/>
      <c r="T26" s="448"/>
      <c r="U26" s="108"/>
      <c r="V26" s="448"/>
      <c r="W26" s="108"/>
      <c r="X26" s="448"/>
      <c r="Y26" s="108"/>
      <c r="Z26" s="448"/>
      <c r="AA26" s="108"/>
      <c r="AB26" s="448"/>
      <c r="AC26" s="108"/>
      <c r="AD26" s="448">
        <v>142970</v>
      </c>
      <c r="AE26" s="108">
        <v>28900</v>
      </c>
      <c r="AF26" s="448"/>
      <c r="AG26" s="108"/>
      <c r="AH26" s="448"/>
      <c r="AI26" s="108"/>
      <c r="AJ26" s="448"/>
      <c r="AK26" s="108"/>
      <c r="AL26" s="448"/>
      <c r="AM26" s="108"/>
      <c r="AN26" s="448"/>
      <c r="AO26" s="108">
        <v>22</v>
      </c>
      <c r="AP26" s="448"/>
      <c r="AQ26" s="108"/>
      <c r="AR26" s="448">
        <v>3083</v>
      </c>
      <c r="AS26" s="108">
        <v>348</v>
      </c>
      <c r="AT26" s="448"/>
      <c r="AU26" s="108"/>
      <c r="AV26" s="1226">
        <f t="shared" si="0"/>
        <v>199767</v>
      </c>
      <c r="AW26" s="1225">
        <f t="shared" si="1"/>
        <v>48005</v>
      </c>
      <c r="AX26" s="1205"/>
      <c r="AY26" s="1184"/>
      <c r="AZ26" s="1186">
        <f t="shared" si="2"/>
        <v>199767</v>
      </c>
      <c r="BA26" s="1204">
        <f t="shared" si="3"/>
        <v>48005</v>
      </c>
    </row>
    <row r="27" spans="1:53" ht="14.25">
      <c r="A27" s="440" t="s">
        <v>255</v>
      </c>
      <c r="B27" s="1206">
        <v>24871</v>
      </c>
      <c r="C27" s="86">
        <v>36617</v>
      </c>
      <c r="D27" s="85"/>
      <c r="E27" s="108"/>
      <c r="F27" s="448"/>
      <c r="G27" s="86"/>
      <c r="H27" s="85"/>
      <c r="I27" s="108"/>
      <c r="J27" s="448"/>
      <c r="K27" s="108"/>
      <c r="L27" s="448"/>
      <c r="M27" s="108"/>
      <c r="N27" s="448"/>
      <c r="O27" s="108"/>
      <c r="P27" s="448"/>
      <c r="Q27" s="108"/>
      <c r="R27" s="448"/>
      <c r="S27" s="108"/>
      <c r="T27" s="448"/>
      <c r="U27" s="108"/>
      <c r="V27" s="448"/>
      <c r="W27" s="108"/>
      <c r="X27" s="448"/>
      <c r="Y27" s="108"/>
      <c r="Z27" s="448"/>
      <c r="AA27" s="108"/>
      <c r="AB27" s="448"/>
      <c r="AC27" s="108"/>
      <c r="AD27" s="448">
        <v>57649</v>
      </c>
      <c r="AE27" s="108">
        <v>67003</v>
      </c>
      <c r="AF27" s="448"/>
      <c r="AG27" s="108"/>
      <c r="AH27" s="448"/>
      <c r="AI27" s="108"/>
      <c r="AJ27" s="448"/>
      <c r="AK27" s="108"/>
      <c r="AL27" s="448"/>
      <c r="AM27" s="108"/>
      <c r="AN27" s="448">
        <v>55650</v>
      </c>
      <c r="AO27" s="108">
        <v>71754</v>
      </c>
      <c r="AP27" s="448"/>
      <c r="AQ27" s="108"/>
      <c r="AR27" s="448"/>
      <c r="AS27" s="108"/>
      <c r="AT27" s="448"/>
      <c r="AU27" s="108"/>
      <c r="AV27" s="1226">
        <f t="shared" si="0"/>
        <v>138170</v>
      </c>
      <c r="AW27" s="1225">
        <f t="shared" si="1"/>
        <v>175374</v>
      </c>
      <c r="AX27" s="1205"/>
      <c r="AY27" s="1184"/>
      <c r="AZ27" s="1186">
        <f t="shared" si="2"/>
        <v>138170</v>
      </c>
      <c r="BA27" s="1204">
        <f t="shared" si="3"/>
        <v>175374</v>
      </c>
    </row>
    <row r="28" spans="1:53" ht="15" thickBot="1">
      <c r="A28" s="1216" t="s">
        <v>256</v>
      </c>
      <c r="B28" s="1217">
        <v>537852</v>
      </c>
      <c r="C28" s="1218">
        <v>70669</v>
      </c>
      <c r="D28" s="1219"/>
      <c r="E28" s="623"/>
      <c r="F28" s="624"/>
      <c r="G28" s="1218"/>
      <c r="H28" s="1219"/>
      <c r="I28" s="623"/>
      <c r="J28" s="624"/>
      <c r="K28" s="623"/>
      <c r="L28" s="624"/>
      <c r="M28" s="623"/>
      <c r="N28" s="624"/>
      <c r="O28" s="623"/>
      <c r="P28" s="624"/>
      <c r="Q28" s="623"/>
      <c r="R28" s="624"/>
      <c r="S28" s="623"/>
      <c r="T28" s="624"/>
      <c r="U28" s="623"/>
      <c r="V28" s="624"/>
      <c r="W28" s="623"/>
      <c r="X28" s="624"/>
      <c r="Y28" s="623"/>
      <c r="Z28" s="624"/>
      <c r="AA28" s="623"/>
      <c r="AB28" s="624"/>
      <c r="AC28" s="623"/>
      <c r="AD28" s="624">
        <v>853035</v>
      </c>
      <c r="AE28" s="623">
        <v>133866</v>
      </c>
      <c r="AF28" s="624"/>
      <c r="AG28" s="623"/>
      <c r="AH28" s="624"/>
      <c r="AI28" s="623"/>
      <c r="AJ28" s="624"/>
      <c r="AK28" s="623"/>
      <c r="AL28" s="624"/>
      <c r="AM28" s="623"/>
      <c r="AN28" s="624">
        <v>694210</v>
      </c>
      <c r="AO28" s="623">
        <v>100558</v>
      </c>
      <c r="AP28" s="624"/>
      <c r="AQ28" s="623"/>
      <c r="AR28" s="624">
        <v>138043</v>
      </c>
      <c r="AS28" s="623">
        <v>15811</v>
      </c>
      <c r="AT28" s="624"/>
      <c r="AU28" s="623"/>
      <c r="AV28" s="1226">
        <f t="shared" si="0"/>
        <v>2223140</v>
      </c>
      <c r="AW28" s="1225">
        <f t="shared" si="1"/>
        <v>320904</v>
      </c>
      <c r="AX28" s="1221"/>
      <c r="AY28" s="1185"/>
      <c r="AZ28" s="1197">
        <f t="shared" si="2"/>
        <v>2223140</v>
      </c>
      <c r="BA28" s="1220">
        <f t="shared" si="3"/>
        <v>320904</v>
      </c>
    </row>
    <row r="29" spans="1:53" s="1019" customFormat="1" ht="15" thickBot="1">
      <c r="A29" s="1299" t="s">
        <v>54</v>
      </c>
      <c r="B29" s="1300">
        <v>616437</v>
      </c>
      <c r="C29" s="1298">
        <v>126021</v>
      </c>
      <c r="D29" s="1301"/>
      <c r="E29" s="1302"/>
      <c r="F29" s="1303"/>
      <c r="G29" s="1302"/>
      <c r="H29" s="1303"/>
      <c r="I29" s="1302"/>
      <c r="J29" s="1303"/>
      <c r="K29" s="1302"/>
      <c r="L29" s="1303"/>
      <c r="M29" s="1302"/>
      <c r="N29" s="1303"/>
      <c r="O29" s="1302"/>
      <c r="P29" s="1303"/>
      <c r="Q29" s="1302"/>
      <c r="R29" s="1303"/>
      <c r="S29" s="1302"/>
      <c r="T29" s="1303"/>
      <c r="U29" s="1302"/>
      <c r="V29" s="1303"/>
      <c r="W29" s="1302"/>
      <c r="X29" s="1303"/>
      <c r="Y29" s="1302"/>
      <c r="Z29" s="1303"/>
      <c r="AA29" s="1302"/>
      <c r="AB29" s="1303"/>
      <c r="AC29" s="1302"/>
      <c r="AD29" s="1303">
        <v>1053654</v>
      </c>
      <c r="AE29" s="1302">
        <v>229769</v>
      </c>
      <c r="AF29" s="1303"/>
      <c r="AG29" s="1302"/>
      <c r="AH29" s="1303"/>
      <c r="AI29" s="1302"/>
      <c r="AJ29" s="1303"/>
      <c r="AK29" s="1302"/>
      <c r="AL29" s="1303"/>
      <c r="AM29" s="1302"/>
      <c r="AN29" s="1303">
        <v>749860</v>
      </c>
      <c r="AO29" s="1302">
        <v>172334</v>
      </c>
      <c r="AP29" s="1303"/>
      <c r="AQ29" s="1302"/>
      <c r="AR29" s="1303">
        <v>141126</v>
      </c>
      <c r="AS29" s="1302">
        <v>16159</v>
      </c>
      <c r="AT29" s="1303"/>
      <c r="AU29" s="1302"/>
      <c r="AV29" s="1304">
        <f t="shared" si="0"/>
        <v>2561077</v>
      </c>
      <c r="AW29" s="1305">
        <f t="shared" si="1"/>
        <v>544283</v>
      </c>
      <c r="AX29" s="1306"/>
      <c r="AY29" s="1307"/>
      <c r="AZ29" s="1308">
        <f t="shared" si="2"/>
        <v>2561077</v>
      </c>
      <c r="BA29" s="1309">
        <f t="shared" si="3"/>
        <v>544283</v>
      </c>
    </row>
  </sheetData>
  <sheetProtection/>
  <mergeCells count="26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X1:AY1"/>
    <mergeCell ref="AZ1:BA1"/>
    <mergeCell ref="AL1:AM1"/>
    <mergeCell ref="AN1:AO1"/>
    <mergeCell ref="AP1:AQ1"/>
    <mergeCell ref="AR1:AS1"/>
    <mergeCell ref="AT1:AU1"/>
    <mergeCell ref="AV1:AW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K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M3" sqref="M3"/>
    </sheetView>
  </sheetViews>
  <sheetFormatPr defaultColWidth="9.140625" defaultRowHeight="15"/>
  <cols>
    <col min="1" max="1" width="41.57421875" style="0" bestFit="1" customWidth="1"/>
    <col min="2" max="2" width="10.421875" style="0" customWidth="1"/>
    <col min="3" max="3" width="11.8515625" style="0" customWidth="1"/>
    <col min="4" max="4" width="12.57421875" style="0" customWidth="1"/>
    <col min="5" max="5" width="10.57421875" style="0" customWidth="1"/>
    <col min="6" max="6" width="11.421875" style="0" customWidth="1"/>
    <col min="7" max="7" width="10.28125" style="0" customWidth="1"/>
    <col min="8" max="10" width="10.7109375" style="0" customWidth="1"/>
    <col min="11" max="11" width="11.00390625" style="0" customWidth="1"/>
  </cols>
  <sheetData>
    <row r="1" spans="1:11" ht="18.75" thickBot="1">
      <c r="A1" s="1699" t="s">
        <v>573</v>
      </c>
      <c r="B1" s="1700"/>
      <c r="C1" s="1700"/>
      <c r="D1" s="1700"/>
      <c r="E1" s="1700"/>
      <c r="F1" s="1700"/>
      <c r="G1" s="1700"/>
      <c r="H1" s="1700"/>
      <c r="I1" s="1700"/>
      <c r="J1" s="1700"/>
      <c r="K1" s="1700"/>
    </row>
    <row r="2" spans="1:11" s="170" customFormat="1" ht="18.75" thickBot="1">
      <c r="A2" s="1692" t="s">
        <v>549</v>
      </c>
      <c r="B2" s="1694" t="s">
        <v>576</v>
      </c>
      <c r="C2" s="1695"/>
      <c r="D2" s="1695"/>
      <c r="E2" s="1695"/>
      <c r="F2" s="1695"/>
      <c r="G2" s="1696" t="s">
        <v>575</v>
      </c>
      <c r="H2" s="1697"/>
      <c r="I2" s="1697"/>
      <c r="J2" s="1697"/>
      <c r="K2" s="1698"/>
    </row>
    <row r="3" spans="1:11" ht="33.75" thickBot="1">
      <c r="A3" s="1693"/>
      <c r="B3" s="1401" t="s">
        <v>579</v>
      </c>
      <c r="C3" s="1402" t="s">
        <v>580</v>
      </c>
      <c r="D3" s="1402" t="s">
        <v>581</v>
      </c>
      <c r="E3" s="1402" t="s">
        <v>582</v>
      </c>
      <c r="F3" s="1403" t="s">
        <v>583</v>
      </c>
      <c r="G3" s="1401" t="s">
        <v>579</v>
      </c>
      <c r="H3" s="1402" t="s">
        <v>580</v>
      </c>
      <c r="I3" s="1402" t="s">
        <v>581</v>
      </c>
      <c r="J3" s="1402" t="s">
        <v>582</v>
      </c>
      <c r="K3" s="1402" t="s">
        <v>583</v>
      </c>
    </row>
    <row r="4" spans="1:11" ht="17.25" thickBot="1">
      <c r="A4" s="1404" t="s">
        <v>550</v>
      </c>
      <c r="B4" s="1406">
        <v>73</v>
      </c>
      <c r="C4" s="1406">
        <v>61</v>
      </c>
      <c r="D4" s="1406">
        <v>48</v>
      </c>
      <c r="E4" s="1406">
        <v>43</v>
      </c>
      <c r="F4" s="1407">
        <v>39</v>
      </c>
      <c r="G4" s="1408">
        <v>84</v>
      </c>
      <c r="H4" s="1409">
        <v>72</v>
      </c>
      <c r="I4" s="1409">
        <v>60</v>
      </c>
      <c r="J4" s="1409">
        <v>55</v>
      </c>
      <c r="K4" s="1410">
        <v>51</v>
      </c>
    </row>
    <row r="5" spans="1:11" ht="17.25" thickBot="1">
      <c r="A5" s="1404" t="s">
        <v>551</v>
      </c>
      <c r="B5" s="1406">
        <v>87</v>
      </c>
      <c r="C5" s="1406">
        <v>79</v>
      </c>
      <c r="D5" s="1406">
        <v>72</v>
      </c>
      <c r="E5" s="1406">
        <v>65</v>
      </c>
      <c r="F5" s="1407">
        <v>40</v>
      </c>
      <c r="G5" s="1408">
        <v>72</v>
      </c>
      <c r="H5" s="1409">
        <v>65</v>
      </c>
      <c r="I5" s="1409">
        <v>56</v>
      </c>
      <c r="J5" s="1409">
        <v>52</v>
      </c>
      <c r="K5" s="1410">
        <v>32</v>
      </c>
    </row>
    <row r="6" spans="1:11" ht="17.25" thickBot="1">
      <c r="A6" s="1405" t="s">
        <v>552</v>
      </c>
      <c r="B6" s="1411">
        <v>62</v>
      </c>
      <c r="C6" s="1412">
        <v>54</v>
      </c>
      <c r="D6" s="1412">
        <v>47</v>
      </c>
      <c r="E6" s="1412">
        <v>44</v>
      </c>
      <c r="F6" s="1413">
        <v>40</v>
      </c>
      <c r="G6" s="1414">
        <v>70</v>
      </c>
      <c r="H6" s="1415">
        <v>56</v>
      </c>
      <c r="I6" s="1415">
        <v>49</v>
      </c>
      <c r="J6" s="1415">
        <v>48</v>
      </c>
      <c r="K6" s="1416">
        <v>46</v>
      </c>
    </row>
    <row r="7" spans="1:11" ht="17.25" thickBot="1">
      <c r="A7" s="1404" t="s">
        <v>553</v>
      </c>
      <c r="B7" s="1406">
        <v>70</v>
      </c>
      <c r="C7" s="1406">
        <v>58.5</v>
      </c>
      <c r="D7" s="1406">
        <v>44.7</v>
      </c>
      <c r="E7" s="1406">
        <v>43.9</v>
      </c>
      <c r="F7" s="1407">
        <v>35.2</v>
      </c>
      <c r="G7" s="1408">
        <v>79.8</v>
      </c>
      <c r="H7" s="1409">
        <v>71.3</v>
      </c>
      <c r="I7" s="1409">
        <v>62.8</v>
      </c>
      <c r="J7" s="1409">
        <v>54.3</v>
      </c>
      <c r="K7" s="1410">
        <v>42.3</v>
      </c>
    </row>
    <row r="8" spans="1:11" ht="17.25" thickBot="1">
      <c r="A8" s="1404" t="s">
        <v>554</v>
      </c>
      <c r="B8" s="1406">
        <v>39</v>
      </c>
      <c r="C8" s="1406">
        <v>44.3</v>
      </c>
      <c r="D8" s="1406">
        <v>42.9</v>
      </c>
      <c r="E8" s="1406">
        <v>39.8</v>
      </c>
      <c r="F8" s="1407">
        <v>37.5</v>
      </c>
      <c r="G8" s="1408">
        <v>62.5</v>
      </c>
      <c r="H8" s="1409">
        <v>52.6</v>
      </c>
      <c r="I8" s="1409">
        <v>49.8</v>
      </c>
      <c r="J8" s="1409">
        <v>46.1</v>
      </c>
      <c r="K8" s="1410">
        <v>41.4</v>
      </c>
    </row>
    <row r="9" spans="1:11" ht="17.25" thickBot="1">
      <c r="A9" s="1404" t="s">
        <v>555</v>
      </c>
      <c r="B9" s="1417">
        <v>76.6</v>
      </c>
      <c r="C9" s="1417">
        <v>67.5</v>
      </c>
      <c r="D9" s="1417">
        <v>61.1</v>
      </c>
      <c r="E9" s="1417">
        <v>54.1</v>
      </c>
      <c r="F9" s="1418">
        <v>46.7</v>
      </c>
      <c r="G9" s="1408">
        <v>80.4</v>
      </c>
      <c r="H9" s="1409">
        <v>71.9</v>
      </c>
      <c r="I9" s="1409">
        <v>66.5</v>
      </c>
      <c r="J9" s="1409">
        <v>59.1</v>
      </c>
      <c r="K9" s="1410">
        <v>53.6</v>
      </c>
    </row>
    <row r="10" spans="1:11" ht="17.25" thickBot="1">
      <c r="A10" s="1405" t="s">
        <v>556</v>
      </c>
      <c r="B10" s="1412">
        <v>75.4</v>
      </c>
      <c r="C10" s="1412">
        <v>60.75</v>
      </c>
      <c r="D10" s="1412">
        <v>61.6</v>
      </c>
      <c r="E10" s="1412">
        <v>55.64</v>
      </c>
      <c r="F10" s="1413">
        <v>47.14</v>
      </c>
      <c r="G10" s="1414">
        <v>77.26</v>
      </c>
      <c r="H10" s="1415">
        <v>61.52</v>
      </c>
      <c r="I10" s="1415">
        <v>60.9</v>
      </c>
      <c r="J10" s="1415">
        <v>62.83</v>
      </c>
      <c r="K10" s="1416">
        <v>50.23</v>
      </c>
    </row>
    <row r="11" spans="1:11" ht="17.25" thickBot="1">
      <c r="A11" s="1404" t="s">
        <v>557</v>
      </c>
      <c r="B11" s="1417"/>
      <c r="C11" s="1417"/>
      <c r="D11" s="1417"/>
      <c r="E11" s="1417"/>
      <c r="F11" s="1418"/>
      <c r="G11" s="1408">
        <v>76.5</v>
      </c>
      <c r="H11" s="1409">
        <v>68.4</v>
      </c>
      <c r="I11" s="1409">
        <v>62.5</v>
      </c>
      <c r="J11" s="1409">
        <v>57.1</v>
      </c>
      <c r="K11" s="1410">
        <v>47.4</v>
      </c>
    </row>
    <row r="12" spans="1:11" ht="17.25" thickBot="1">
      <c r="A12" s="1404" t="s">
        <v>558</v>
      </c>
      <c r="B12" s="1417"/>
      <c r="C12" s="1417"/>
      <c r="D12" s="1417"/>
      <c r="E12" s="1417"/>
      <c r="F12" s="1418"/>
      <c r="G12" s="1408">
        <v>75.3</v>
      </c>
      <c r="H12" s="1409">
        <v>63.6</v>
      </c>
      <c r="I12" s="1409">
        <v>55</v>
      </c>
      <c r="J12" s="1409">
        <v>49.4</v>
      </c>
      <c r="K12" s="1410">
        <v>40.6</v>
      </c>
    </row>
    <row r="13" spans="1:11" ht="17.25" thickBot="1">
      <c r="A13" s="1405" t="s">
        <v>559</v>
      </c>
      <c r="B13" s="1412">
        <v>62.78</v>
      </c>
      <c r="C13" s="1412">
        <v>45.13</v>
      </c>
      <c r="D13" s="1412">
        <v>32.7</v>
      </c>
      <c r="E13" s="1412">
        <v>32.77</v>
      </c>
      <c r="F13" s="1413">
        <v>25.54</v>
      </c>
      <c r="G13" s="1414">
        <v>70.92</v>
      </c>
      <c r="H13" s="1415">
        <v>46.85</v>
      </c>
      <c r="I13" s="1415">
        <v>35.33</v>
      </c>
      <c r="J13" s="1415">
        <v>26.74</v>
      </c>
      <c r="K13" s="1416">
        <v>20.28</v>
      </c>
    </row>
    <row r="14" spans="1:11" ht="17.25" thickBot="1">
      <c r="A14" s="1404" t="s">
        <v>560</v>
      </c>
      <c r="B14" s="1406">
        <v>77.36</v>
      </c>
      <c r="C14" s="1406">
        <v>64.23</v>
      </c>
      <c r="D14" s="1406">
        <v>56.95</v>
      </c>
      <c r="E14" s="1406">
        <v>51.72</v>
      </c>
      <c r="F14" s="1407">
        <v>43.36</v>
      </c>
      <c r="G14" s="1408">
        <v>91.74</v>
      </c>
      <c r="H14" s="1409">
        <v>84.18</v>
      </c>
      <c r="I14" s="1409">
        <v>74.73</v>
      </c>
      <c r="J14" s="1409">
        <v>69.58</v>
      </c>
      <c r="K14" s="1410">
        <v>54.36</v>
      </c>
    </row>
    <row r="15" spans="1:11" ht="23.25" customHeight="1" thickBot="1">
      <c r="A15" s="1405" t="s">
        <v>561</v>
      </c>
      <c r="B15" s="1412">
        <v>80.9</v>
      </c>
      <c r="C15" s="1412">
        <v>72.6</v>
      </c>
      <c r="D15" s="1412">
        <v>64.5</v>
      </c>
      <c r="E15" s="1412">
        <v>61.8</v>
      </c>
      <c r="F15" s="1413">
        <v>56.4</v>
      </c>
      <c r="G15" s="1414">
        <v>87.1</v>
      </c>
      <c r="H15" s="1415">
        <v>76.1</v>
      </c>
      <c r="I15" s="1415">
        <v>69.2</v>
      </c>
      <c r="J15" s="1415">
        <v>65.4</v>
      </c>
      <c r="K15" s="1416">
        <v>59.8</v>
      </c>
    </row>
    <row r="16" spans="1:11" ht="17.25" thickBot="1">
      <c r="A16" s="1404" t="s">
        <v>574</v>
      </c>
      <c r="B16" s="1406">
        <v>72.7</v>
      </c>
      <c r="C16" s="1406">
        <v>63.12</v>
      </c>
      <c r="D16" s="1406">
        <v>60.55</v>
      </c>
      <c r="E16" s="1406">
        <v>49.63</v>
      </c>
      <c r="F16" s="1407">
        <v>40.62</v>
      </c>
      <c r="G16" s="1408">
        <v>85.06</v>
      </c>
      <c r="H16" s="1409">
        <v>75.63</v>
      </c>
      <c r="I16" s="1409">
        <v>75.69</v>
      </c>
      <c r="J16" s="1409">
        <v>67.67</v>
      </c>
      <c r="K16" s="1410">
        <v>53.53</v>
      </c>
    </row>
    <row r="17" spans="1:11" ht="17.25" thickBot="1">
      <c r="A17" s="1405" t="s">
        <v>562</v>
      </c>
      <c r="B17" s="1412">
        <v>71.1</v>
      </c>
      <c r="C17" s="1412">
        <v>58.2</v>
      </c>
      <c r="D17" s="1412">
        <v>50.86</v>
      </c>
      <c r="E17" s="1412">
        <v>46.76</v>
      </c>
      <c r="F17" s="1413">
        <v>39.63</v>
      </c>
      <c r="G17" s="1414">
        <v>78.73</v>
      </c>
      <c r="H17" s="1415">
        <v>67.02</v>
      </c>
      <c r="I17" s="1415">
        <v>61.33</v>
      </c>
      <c r="J17" s="1415">
        <v>57.22</v>
      </c>
      <c r="K17" s="1416">
        <v>43.48</v>
      </c>
    </row>
    <row r="18" spans="1:11" ht="17.25" thickBot="1">
      <c r="A18" s="1404" t="s">
        <v>563</v>
      </c>
      <c r="B18" s="1417">
        <v>83.42</v>
      </c>
      <c r="C18" s="1417">
        <v>74.64</v>
      </c>
      <c r="D18" s="1417">
        <v>68.26</v>
      </c>
      <c r="E18" s="1417">
        <v>62.84</v>
      </c>
      <c r="F18" s="1418">
        <v>50.81</v>
      </c>
      <c r="G18" s="1408">
        <v>89.61</v>
      </c>
      <c r="H18" s="1409">
        <v>79.22</v>
      </c>
      <c r="I18" s="1409">
        <v>72.23</v>
      </c>
      <c r="J18" s="1409">
        <v>67.3</v>
      </c>
      <c r="K18" s="1410">
        <v>57.98</v>
      </c>
    </row>
    <row r="19" spans="1:11" ht="17.25" thickBot="1">
      <c r="A19" s="1405" t="s">
        <v>564</v>
      </c>
      <c r="B19" s="1412">
        <v>79</v>
      </c>
      <c r="C19" s="1412">
        <v>67</v>
      </c>
      <c r="D19" s="1412">
        <v>58</v>
      </c>
      <c r="E19" s="1412">
        <v>53</v>
      </c>
      <c r="F19" s="1413">
        <v>50</v>
      </c>
      <c r="G19" s="1414">
        <v>84</v>
      </c>
      <c r="H19" s="1415">
        <v>68</v>
      </c>
      <c r="I19" s="1415">
        <v>60</v>
      </c>
      <c r="J19" s="1415">
        <v>56</v>
      </c>
      <c r="K19" s="1416">
        <v>53</v>
      </c>
    </row>
    <row r="20" spans="1:11" ht="17.25" thickBot="1">
      <c r="A20" s="1404" t="s">
        <v>565</v>
      </c>
      <c r="B20" s="1417"/>
      <c r="C20" s="1417"/>
      <c r="D20" s="1417"/>
      <c r="E20" s="1417"/>
      <c r="F20" s="1418"/>
      <c r="G20" s="1408"/>
      <c r="H20" s="1409"/>
      <c r="I20" s="1409"/>
      <c r="J20" s="1409"/>
      <c r="K20" s="1410"/>
    </row>
    <row r="21" spans="1:11" ht="17.25" thickBot="1">
      <c r="A21" s="1404" t="s">
        <v>566</v>
      </c>
      <c r="B21" s="1406"/>
      <c r="C21" s="1406"/>
      <c r="D21" s="1406"/>
      <c r="E21" s="1406"/>
      <c r="F21" s="1407"/>
      <c r="G21" s="1408">
        <v>78.5</v>
      </c>
      <c r="H21" s="1409">
        <v>64.3</v>
      </c>
      <c r="I21" s="1409">
        <v>60.1</v>
      </c>
      <c r="J21" s="1409">
        <v>53.3</v>
      </c>
      <c r="K21" s="1410">
        <v>44.6</v>
      </c>
    </row>
    <row r="22" spans="1:11" ht="17.25" thickBot="1">
      <c r="A22" s="1404" t="s">
        <v>567</v>
      </c>
      <c r="B22" s="1417"/>
      <c r="C22" s="1417"/>
      <c r="D22" s="1417"/>
      <c r="E22" s="1417"/>
      <c r="F22" s="1418"/>
      <c r="G22" s="1408"/>
      <c r="H22" s="1409"/>
      <c r="I22" s="1409"/>
      <c r="J22" s="1409"/>
      <c r="K22" s="1410"/>
    </row>
    <row r="23" spans="1:11" ht="17.25" thickBot="1">
      <c r="A23" s="1405" t="s">
        <v>568</v>
      </c>
      <c r="B23" s="1412">
        <v>78.67</v>
      </c>
      <c r="C23" s="1412">
        <v>62.28</v>
      </c>
      <c r="D23" s="1412">
        <v>58.29</v>
      </c>
      <c r="E23" s="1412">
        <v>50.83</v>
      </c>
      <c r="F23" s="1413">
        <v>39.62</v>
      </c>
      <c r="G23" s="1414">
        <v>85.39</v>
      </c>
      <c r="H23" s="1415">
        <v>75.83</v>
      </c>
      <c r="I23" s="1415">
        <v>72.12</v>
      </c>
      <c r="J23" s="1415">
        <v>65.02</v>
      </c>
      <c r="K23" s="1416">
        <v>48.73</v>
      </c>
    </row>
    <row r="24" spans="1:11" ht="17.25" thickBot="1">
      <c r="A24" s="1404" t="s">
        <v>569</v>
      </c>
      <c r="B24" s="1417">
        <v>55.8</v>
      </c>
      <c r="C24" s="1417">
        <v>40.3</v>
      </c>
      <c r="D24" s="1417">
        <v>31</v>
      </c>
      <c r="E24" s="1417">
        <v>31.2</v>
      </c>
      <c r="F24" s="1418">
        <v>21.6</v>
      </c>
      <c r="G24" s="1408">
        <v>61.5</v>
      </c>
      <c r="H24" s="1409">
        <v>55.3</v>
      </c>
      <c r="I24" s="1409">
        <v>46.3</v>
      </c>
      <c r="J24" s="1409">
        <v>47.7</v>
      </c>
      <c r="K24" s="1410">
        <v>36.5</v>
      </c>
    </row>
    <row r="25" spans="1:11" ht="33.75" thickBot="1">
      <c r="A25" s="1405" t="s">
        <v>570</v>
      </c>
      <c r="B25" s="1412">
        <v>70.28</v>
      </c>
      <c r="C25" s="1412">
        <v>57.46</v>
      </c>
      <c r="D25" s="1412">
        <v>48.94</v>
      </c>
      <c r="E25" s="1412">
        <v>44.4</v>
      </c>
      <c r="F25" s="1413">
        <v>34.09</v>
      </c>
      <c r="G25" s="1414">
        <v>78.08</v>
      </c>
      <c r="H25" s="1415">
        <v>64.51</v>
      </c>
      <c r="I25" s="1415">
        <v>58.23</v>
      </c>
      <c r="J25" s="1415">
        <v>52.53</v>
      </c>
      <c r="K25" s="1416">
        <v>43.12</v>
      </c>
    </row>
    <row r="26" spans="1:11" ht="17.25" thickBot="1">
      <c r="A26" s="1404" t="s">
        <v>571</v>
      </c>
      <c r="B26" s="1406">
        <v>70.15</v>
      </c>
      <c r="C26" s="1406">
        <v>63.67</v>
      </c>
      <c r="D26" s="1406">
        <v>57.16</v>
      </c>
      <c r="E26" s="1406">
        <v>49.53</v>
      </c>
      <c r="F26" s="1407">
        <v>39.75</v>
      </c>
      <c r="G26" s="1408">
        <v>88.28</v>
      </c>
      <c r="H26" s="1409">
        <v>77.08</v>
      </c>
      <c r="I26" s="1409">
        <v>66.25</v>
      </c>
      <c r="J26" s="1409">
        <v>61</v>
      </c>
      <c r="K26" s="1410">
        <v>57.42</v>
      </c>
    </row>
    <row r="27" spans="1:11" ht="17.25" thickBot="1">
      <c r="A27" s="1400" t="s">
        <v>572</v>
      </c>
      <c r="B27" s="1419">
        <v>67</v>
      </c>
      <c r="C27" s="1419">
        <v>58</v>
      </c>
      <c r="D27" s="1419">
        <v>55</v>
      </c>
      <c r="E27" s="1419">
        <v>52</v>
      </c>
      <c r="F27" s="1420">
        <v>48</v>
      </c>
      <c r="G27" s="1421">
        <v>79</v>
      </c>
      <c r="H27" s="1422">
        <v>70</v>
      </c>
      <c r="I27" s="1422">
        <v>67</v>
      </c>
      <c r="J27" s="1422">
        <v>63</v>
      </c>
      <c r="K27" s="1423">
        <v>59</v>
      </c>
    </row>
  </sheetData>
  <sheetProtection/>
  <mergeCells count="4">
    <mergeCell ref="A2:A3"/>
    <mergeCell ref="B2:F2"/>
    <mergeCell ref="G2:K2"/>
    <mergeCell ref="A1:K1"/>
  </mergeCells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</sheetPr>
  <dimension ref="A1:BA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7" sqref="F7"/>
    </sheetView>
  </sheetViews>
  <sheetFormatPr defaultColWidth="9.140625" defaultRowHeight="15"/>
  <cols>
    <col min="1" max="1" width="34.421875" style="106" bestFit="1" customWidth="1"/>
    <col min="2" max="3" width="10.421875" style="106" bestFit="1" customWidth="1"/>
    <col min="4" max="4" width="10.421875" style="106" customWidth="1"/>
    <col min="5" max="11" width="10.421875" style="106" bestFit="1" customWidth="1"/>
    <col min="12" max="12" width="10.421875" style="106" customWidth="1"/>
    <col min="13" max="17" width="10.421875" style="106" bestFit="1" customWidth="1"/>
    <col min="18" max="18" width="10.421875" style="106" customWidth="1"/>
    <col min="19" max="19" width="10.421875" style="106" bestFit="1" customWidth="1"/>
    <col min="20" max="20" width="10.421875" style="106" customWidth="1"/>
    <col min="21" max="23" width="10.421875" style="106" bestFit="1" customWidth="1"/>
    <col min="24" max="24" width="11.57421875" style="106" bestFit="1" customWidth="1"/>
    <col min="25" max="27" width="10.421875" style="106" bestFit="1" customWidth="1"/>
    <col min="28" max="28" width="10.421875" style="106" customWidth="1"/>
    <col min="29" max="29" width="10.421875" style="106" bestFit="1" customWidth="1"/>
    <col min="30" max="30" width="10.421875" style="106" customWidth="1"/>
    <col min="31" max="33" width="10.421875" style="106" bestFit="1" customWidth="1"/>
    <col min="34" max="34" width="10.421875" style="106" customWidth="1"/>
    <col min="35" max="37" width="10.421875" style="106" bestFit="1" customWidth="1"/>
    <col min="38" max="38" width="10.421875" style="106" customWidth="1"/>
    <col min="39" max="39" width="10.421875" style="106" bestFit="1" customWidth="1"/>
    <col min="40" max="40" width="10.421875" style="106" customWidth="1"/>
    <col min="41" max="41" width="10.421875" style="106" bestFit="1" customWidth="1"/>
    <col min="42" max="42" width="12.8515625" style="106" bestFit="1" customWidth="1"/>
    <col min="43" max="43" width="11.57421875" style="106" bestFit="1" customWidth="1"/>
    <col min="44" max="47" width="10.421875" style="106" bestFit="1" customWidth="1"/>
    <col min="48" max="49" width="15.57421875" style="106" bestFit="1" customWidth="1"/>
    <col min="50" max="51" width="10.421875" style="106" bestFit="1" customWidth="1"/>
    <col min="52" max="53" width="15.57421875" style="106" bestFit="1" customWidth="1"/>
    <col min="54" max="16384" width="9.140625" style="106" customWidth="1"/>
  </cols>
  <sheetData>
    <row r="1" spans="1:2" ht="17.25" thickBot="1">
      <c r="A1" s="479" t="s">
        <v>525</v>
      </c>
      <c r="B1" s="479"/>
    </row>
    <row r="2" spans="1:53" s="483" customFormat="1" ht="86.25" customHeight="1" thickBot="1">
      <c r="A2" s="1701" t="s">
        <v>0</v>
      </c>
      <c r="B2" s="1637" t="s">
        <v>163</v>
      </c>
      <c r="C2" s="1638"/>
      <c r="D2" s="1672" t="s">
        <v>164</v>
      </c>
      <c r="E2" s="1673"/>
      <c r="F2" s="1672" t="s">
        <v>165</v>
      </c>
      <c r="G2" s="1673"/>
      <c r="H2" s="1672" t="s">
        <v>166</v>
      </c>
      <c r="I2" s="1673"/>
      <c r="J2" s="1672" t="s">
        <v>167</v>
      </c>
      <c r="K2" s="1673"/>
      <c r="L2" s="1672" t="s">
        <v>168</v>
      </c>
      <c r="M2" s="1673"/>
      <c r="N2" s="1672" t="s">
        <v>446</v>
      </c>
      <c r="O2" s="1673"/>
      <c r="P2" s="1672" t="s">
        <v>169</v>
      </c>
      <c r="Q2" s="1673"/>
      <c r="R2" s="1672" t="s">
        <v>170</v>
      </c>
      <c r="S2" s="1673"/>
      <c r="T2" s="1672" t="s">
        <v>171</v>
      </c>
      <c r="U2" s="1673"/>
      <c r="V2" s="1672" t="s">
        <v>172</v>
      </c>
      <c r="W2" s="1673"/>
      <c r="X2" s="1672" t="s">
        <v>173</v>
      </c>
      <c r="Y2" s="1673"/>
      <c r="Z2" s="1672" t="s">
        <v>526</v>
      </c>
      <c r="AA2" s="1673"/>
      <c r="AB2" s="1672" t="s">
        <v>174</v>
      </c>
      <c r="AC2" s="1673"/>
      <c r="AD2" s="1672" t="s">
        <v>175</v>
      </c>
      <c r="AE2" s="1673"/>
      <c r="AF2" s="1672" t="s">
        <v>176</v>
      </c>
      <c r="AG2" s="1673"/>
      <c r="AH2" s="1672" t="s">
        <v>177</v>
      </c>
      <c r="AI2" s="1673"/>
      <c r="AJ2" s="1672" t="s">
        <v>178</v>
      </c>
      <c r="AK2" s="1673"/>
      <c r="AL2" s="1672" t="s">
        <v>179</v>
      </c>
      <c r="AM2" s="1673"/>
      <c r="AN2" s="1672" t="s">
        <v>180</v>
      </c>
      <c r="AO2" s="1673"/>
      <c r="AP2" s="1672" t="s">
        <v>181</v>
      </c>
      <c r="AQ2" s="1673"/>
      <c r="AR2" s="1672" t="s">
        <v>182</v>
      </c>
      <c r="AS2" s="1673"/>
      <c r="AT2" s="1672" t="s">
        <v>183</v>
      </c>
      <c r="AU2" s="1673"/>
      <c r="AV2" s="1672" t="s">
        <v>1</v>
      </c>
      <c r="AW2" s="1673"/>
      <c r="AX2" s="1672" t="s">
        <v>184</v>
      </c>
      <c r="AY2" s="1673"/>
      <c r="AZ2" s="1672" t="s">
        <v>2</v>
      </c>
      <c r="BA2" s="1673"/>
    </row>
    <row r="3" spans="1:53" s="582" customFormat="1" ht="30.75" customHeight="1" thickBot="1">
      <c r="A3" s="1702"/>
      <c r="B3" s="1232" t="s">
        <v>521</v>
      </c>
      <c r="C3" s="1234" t="s">
        <v>379</v>
      </c>
      <c r="D3" s="1232" t="s">
        <v>521</v>
      </c>
      <c r="E3" s="1234" t="s">
        <v>379</v>
      </c>
      <c r="F3" s="1232" t="s">
        <v>521</v>
      </c>
      <c r="G3" s="1234" t="s">
        <v>379</v>
      </c>
      <c r="H3" s="1232" t="s">
        <v>521</v>
      </c>
      <c r="I3" s="1234" t="s">
        <v>379</v>
      </c>
      <c r="J3" s="1232" t="s">
        <v>521</v>
      </c>
      <c r="K3" s="1234" t="s">
        <v>379</v>
      </c>
      <c r="L3" s="1232" t="s">
        <v>521</v>
      </c>
      <c r="M3" s="1234" t="s">
        <v>379</v>
      </c>
      <c r="N3" s="1232" t="s">
        <v>521</v>
      </c>
      <c r="O3" s="1234" t="s">
        <v>379</v>
      </c>
      <c r="P3" s="1232" t="s">
        <v>521</v>
      </c>
      <c r="Q3" s="1234" t="s">
        <v>379</v>
      </c>
      <c r="R3" s="1232" t="s">
        <v>521</v>
      </c>
      <c r="S3" s="1234" t="s">
        <v>379</v>
      </c>
      <c r="T3" s="1232" t="s">
        <v>521</v>
      </c>
      <c r="U3" s="1234" t="s">
        <v>379</v>
      </c>
      <c r="V3" s="1232" t="s">
        <v>521</v>
      </c>
      <c r="W3" s="1234" t="s">
        <v>379</v>
      </c>
      <c r="X3" s="1232" t="s">
        <v>521</v>
      </c>
      <c r="Y3" s="1234" t="s">
        <v>379</v>
      </c>
      <c r="Z3" s="1232" t="s">
        <v>521</v>
      </c>
      <c r="AA3" s="1234" t="s">
        <v>332</v>
      </c>
      <c r="AB3" s="1232" t="s">
        <v>521</v>
      </c>
      <c r="AC3" s="1234" t="s">
        <v>332</v>
      </c>
      <c r="AD3" s="1239" t="s">
        <v>521</v>
      </c>
      <c r="AE3" s="1233" t="s">
        <v>379</v>
      </c>
      <c r="AF3" s="1232" t="s">
        <v>521</v>
      </c>
      <c r="AG3" s="1234" t="s">
        <v>379</v>
      </c>
      <c r="AH3" s="1232" t="s">
        <v>521</v>
      </c>
      <c r="AI3" s="1234" t="s">
        <v>379</v>
      </c>
      <c r="AJ3" s="1232" t="s">
        <v>521</v>
      </c>
      <c r="AK3" s="1234" t="s">
        <v>379</v>
      </c>
      <c r="AL3" s="1232" t="s">
        <v>521</v>
      </c>
      <c r="AM3" s="1234" t="s">
        <v>379</v>
      </c>
      <c r="AN3" s="1232" t="s">
        <v>521</v>
      </c>
      <c r="AO3" s="1234" t="s">
        <v>379</v>
      </c>
      <c r="AP3" s="1232" t="s">
        <v>521</v>
      </c>
      <c r="AQ3" s="1234" t="s">
        <v>379</v>
      </c>
      <c r="AR3" s="1232" t="s">
        <v>521</v>
      </c>
      <c r="AS3" s="1234" t="s">
        <v>379</v>
      </c>
      <c r="AT3" s="1232" t="s">
        <v>521</v>
      </c>
      <c r="AU3" s="1234" t="s">
        <v>379</v>
      </c>
      <c r="AV3" s="1232" t="s">
        <v>521</v>
      </c>
      <c r="AW3" s="1234" t="s">
        <v>379</v>
      </c>
      <c r="AX3" s="620" t="s">
        <v>521</v>
      </c>
      <c r="AY3" s="1234" t="s">
        <v>379</v>
      </c>
      <c r="AZ3" s="620" t="s">
        <v>521</v>
      </c>
      <c r="BA3" s="1234" t="s">
        <v>379</v>
      </c>
    </row>
    <row r="4" spans="1:53" ht="16.5">
      <c r="A4" s="344" t="s">
        <v>333</v>
      </c>
      <c r="B4" s="1240"/>
      <c r="C4" s="1231"/>
      <c r="D4" s="1117"/>
      <c r="E4" s="1231"/>
      <c r="F4" s="1117"/>
      <c r="G4" s="1231"/>
      <c r="H4" s="1117"/>
      <c r="I4" s="1231"/>
      <c r="J4" s="1117"/>
      <c r="K4" s="1231"/>
      <c r="L4" s="1117"/>
      <c r="M4" s="1231"/>
      <c r="N4" s="1117"/>
      <c r="O4" s="1231"/>
      <c r="P4" s="1117"/>
      <c r="Q4" s="1231"/>
      <c r="R4" s="1117"/>
      <c r="S4" s="1231"/>
      <c r="T4" s="1117"/>
      <c r="U4" s="1231"/>
      <c r="V4" s="1117"/>
      <c r="W4" s="1231"/>
      <c r="X4" s="1117"/>
      <c r="Y4" s="1231"/>
      <c r="Z4" s="1117"/>
      <c r="AA4" s="1231"/>
      <c r="AB4" s="1117"/>
      <c r="AC4" s="1231"/>
      <c r="AD4" s="1235"/>
      <c r="AE4" s="1230"/>
      <c r="AF4" s="1117"/>
      <c r="AG4" s="1231"/>
      <c r="AH4" s="1117"/>
      <c r="AI4" s="1231"/>
      <c r="AJ4" s="1117"/>
      <c r="AK4" s="1231"/>
      <c r="AL4" s="1117"/>
      <c r="AM4" s="1231"/>
      <c r="AN4" s="1117"/>
      <c r="AO4" s="1231"/>
      <c r="AP4" s="1117"/>
      <c r="AQ4" s="1231"/>
      <c r="AR4" s="1117"/>
      <c r="AS4" s="1231"/>
      <c r="AT4" s="1117"/>
      <c r="AU4" s="1231"/>
      <c r="AV4" s="1117"/>
      <c r="AW4" s="1231"/>
      <c r="AX4" s="1117"/>
      <c r="AY4" s="1231"/>
      <c r="AZ4" s="1429"/>
      <c r="BA4" s="1430"/>
    </row>
    <row r="5" spans="1:53" ht="16.5">
      <c r="A5" s="480" t="s">
        <v>334</v>
      </c>
      <c r="B5" s="33">
        <v>2634874</v>
      </c>
      <c r="C5" s="484">
        <v>2150247</v>
      </c>
      <c r="D5" s="1111">
        <v>99674</v>
      </c>
      <c r="E5" s="484">
        <v>76241</v>
      </c>
      <c r="F5" s="1111">
        <v>319891</v>
      </c>
      <c r="G5" s="484">
        <v>246305</v>
      </c>
      <c r="H5" s="1111">
        <v>2429158</v>
      </c>
      <c r="I5" s="484">
        <v>1554798</v>
      </c>
      <c r="J5" s="1111">
        <v>132180</v>
      </c>
      <c r="K5" s="484">
        <v>83139</v>
      </c>
      <c r="L5" s="1111">
        <v>1167662</v>
      </c>
      <c r="M5" s="484">
        <v>814401</v>
      </c>
      <c r="N5" s="1111">
        <v>40159</v>
      </c>
      <c r="O5" s="484">
        <v>30902</v>
      </c>
      <c r="P5" s="1111">
        <v>133936</v>
      </c>
      <c r="Q5" s="484">
        <v>73623</v>
      </c>
      <c r="R5" s="1111">
        <v>195817</v>
      </c>
      <c r="S5" s="484">
        <v>151801</v>
      </c>
      <c r="T5" s="1111">
        <v>67753</v>
      </c>
      <c r="U5" s="484">
        <v>57150</v>
      </c>
      <c r="V5" s="1111">
        <v>6751844</v>
      </c>
      <c r="W5" s="484">
        <v>4754148</v>
      </c>
      <c r="X5" s="1111">
        <v>12670587</v>
      </c>
      <c r="Y5" s="484">
        <v>8687091</v>
      </c>
      <c r="Z5" s="1111">
        <v>351408</v>
      </c>
      <c r="AA5" s="484">
        <v>247607</v>
      </c>
      <c r="AB5" s="1111">
        <v>564995</v>
      </c>
      <c r="AC5" s="484">
        <v>376879</v>
      </c>
      <c r="AD5" s="490">
        <v>1883869</v>
      </c>
      <c r="AE5" s="1159">
        <v>1278573</v>
      </c>
      <c r="AF5" s="1111">
        <v>2621735</v>
      </c>
      <c r="AG5" s="484">
        <v>1733979</v>
      </c>
      <c r="AH5" s="1111"/>
      <c r="AI5" s="484">
        <v>510943</v>
      </c>
      <c r="AJ5" s="1111">
        <v>580736</v>
      </c>
      <c r="AK5" s="484">
        <v>412844</v>
      </c>
      <c r="AL5" s="1111"/>
      <c r="AM5" s="484"/>
      <c r="AN5" s="1111">
        <v>9888713</v>
      </c>
      <c r="AO5" s="484">
        <v>6884759</v>
      </c>
      <c r="AP5" s="1111">
        <v>50144.61</v>
      </c>
      <c r="AQ5" s="484">
        <v>44023.06</v>
      </c>
      <c r="AR5" s="1111">
        <v>249819</v>
      </c>
      <c r="AS5" s="484">
        <v>196521</v>
      </c>
      <c r="AT5" s="1111">
        <v>1567758</v>
      </c>
      <c r="AU5" s="484">
        <v>880901</v>
      </c>
      <c r="AV5" s="1111">
        <f>SUM(B5+D5+F5+H5+J5+L5+N5+P5+R5+T5+V5+X5+Z5+AB5+AD5+AF5+AH5+AJ5+AL5+AN5+AP5+AR5+AT5)</f>
        <v>44402712.61</v>
      </c>
      <c r="AW5" s="489">
        <f>SUM(C5+E5+G5+I5+K5+M5+O5+Q5+S5+U5+W5+Y5+AA5+AC5+AE5+AG5+AI5+AK5+AM5+AO5+AQ5+AS5+AU5)</f>
        <v>31246875.06</v>
      </c>
      <c r="AX5" s="1111"/>
      <c r="AY5" s="484"/>
      <c r="AZ5" s="1111">
        <f>AV5+AX5</f>
        <v>44402712.61</v>
      </c>
      <c r="BA5" s="484">
        <f>AW5+AY5</f>
        <v>31246875.06</v>
      </c>
    </row>
    <row r="6" spans="1:53" ht="16.5">
      <c r="A6" s="480" t="s">
        <v>335</v>
      </c>
      <c r="B6" s="33"/>
      <c r="C6" s="484"/>
      <c r="D6" s="1111"/>
      <c r="E6" s="484"/>
      <c r="F6" s="1111"/>
      <c r="G6" s="484"/>
      <c r="H6" s="1111"/>
      <c r="I6" s="484"/>
      <c r="J6" s="1111"/>
      <c r="K6" s="484"/>
      <c r="L6" s="1111"/>
      <c r="M6" s="484"/>
      <c r="N6" s="1111"/>
      <c r="O6" s="484"/>
      <c r="P6" s="1111"/>
      <c r="Q6" s="484"/>
      <c r="R6" s="1111"/>
      <c r="S6" s="484"/>
      <c r="T6" s="1111"/>
      <c r="U6" s="484"/>
      <c r="V6" s="1111"/>
      <c r="W6" s="484"/>
      <c r="X6" s="1111"/>
      <c r="Y6" s="484"/>
      <c r="Z6" s="1111"/>
      <c r="AA6" s="484"/>
      <c r="AB6" s="1111"/>
      <c r="AC6" s="484"/>
      <c r="AD6" s="490"/>
      <c r="AE6" s="1159"/>
      <c r="AF6" s="1111"/>
      <c r="AG6" s="484"/>
      <c r="AH6" s="1111"/>
      <c r="AI6" s="484"/>
      <c r="AJ6" s="1111"/>
      <c r="AK6" s="484"/>
      <c r="AL6" s="1111"/>
      <c r="AM6" s="484"/>
      <c r="AN6" s="1111"/>
      <c r="AO6" s="484"/>
      <c r="AP6" s="1111"/>
      <c r="AQ6" s="484"/>
      <c r="AR6" s="1111"/>
      <c r="AS6" s="484"/>
      <c r="AT6" s="1111"/>
      <c r="AU6" s="484"/>
      <c r="AV6" s="1111">
        <f aca="true" t="shared" si="0" ref="AV6:AV22">SUM(B6+D6+F6+H6+J6+L6+N6+P6+R6+T6+V6+X6+Z6+AB6+AD6+AF6+AH6+AJ6+AL6+AN6+AP6+AR6+AT6)</f>
        <v>0</v>
      </c>
      <c r="AW6" s="489">
        <f aca="true" t="shared" si="1" ref="AW6:AW22">SUM(C6+E6+G6+I6+K6+M6+O6+Q6+S6+U6+W6+Y6+AA6+AC6+AE6+AG6+AI6+AK6+AM6+AO6+AQ6+AS6+AU6)</f>
        <v>0</v>
      </c>
      <c r="AX6" s="1111"/>
      <c r="AY6" s="484"/>
      <c r="AZ6" s="1111">
        <f aca="true" t="shared" si="2" ref="AZ6:AZ22">AV6+AX6</f>
        <v>0</v>
      </c>
      <c r="BA6" s="484">
        <f aca="true" t="shared" si="3" ref="BA6:BA22">AW6+AY6</f>
        <v>0</v>
      </c>
    </row>
    <row r="7" spans="1:53" ht="16.5">
      <c r="A7" s="480" t="s">
        <v>336</v>
      </c>
      <c r="B7" s="33">
        <v>188636</v>
      </c>
      <c r="C7" s="484">
        <v>161659</v>
      </c>
      <c r="D7" s="1111">
        <v>3489</v>
      </c>
      <c r="E7" s="484">
        <v>2596</v>
      </c>
      <c r="F7" s="1111">
        <v>36294</v>
      </c>
      <c r="G7" s="484">
        <v>28095</v>
      </c>
      <c r="H7" s="1111">
        <v>447906</v>
      </c>
      <c r="I7" s="484">
        <v>393176</v>
      </c>
      <c r="J7" s="1111">
        <v>7853</v>
      </c>
      <c r="K7" s="484">
        <v>6829</v>
      </c>
      <c r="L7" s="1111">
        <v>11696</v>
      </c>
      <c r="M7" s="484">
        <v>9380</v>
      </c>
      <c r="N7" s="1111">
        <v>739</v>
      </c>
      <c r="O7" s="484">
        <v>706</v>
      </c>
      <c r="P7" s="1111">
        <v>3499</v>
      </c>
      <c r="Q7" s="484">
        <v>2719</v>
      </c>
      <c r="R7" s="1111">
        <v>9094</v>
      </c>
      <c r="S7" s="484">
        <v>6873</v>
      </c>
      <c r="T7" s="1111">
        <v>1225</v>
      </c>
      <c r="U7" s="484">
        <v>964</v>
      </c>
      <c r="V7" s="1111">
        <v>755891</v>
      </c>
      <c r="W7" s="484">
        <v>701724</v>
      </c>
      <c r="X7" s="1111">
        <v>1155323</v>
      </c>
      <c r="Y7" s="484">
        <v>1023540</v>
      </c>
      <c r="Z7" s="1111">
        <v>3053</v>
      </c>
      <c r="AA7" s="484">
        <v>4826</v>
      </c>
      <c r="AB7" s="1111">
        <v>22533</v>
      </c>
      <c r="AC7" s="484">
        <v>16535</v>
      </c>
      <c r="AD7" s="490">
        <v>64196</v>
      </c>
      <c r="AE7" s="1159">
        <v>67795</v>
      </c>
      <c r="AF7" s="1111">
        <v>215627</v>
      </c>
      <c r="AG7" s="484">
        <v>182437</v>
      </c>
      <c r="AH7" s="1111"/>
      <c r="AI7" s="484">
        <v>21239</v>
      </c>
      <c r="AJ7" s="1111">
        <v>30621</v>
      </c>
      <c r="AK7" s="484">
        <v>28910</v>
      </c>
      <c r="AL7" s="1111"/>
      <c r="AM7" s="484"/>
      <c r="AN7" s="1111">
        <v>1833947</v>
      </c>
      <c r="AO7" s="484">
        <v>1075720</v>
      </c>
      <c r="AP7" s="1111">
        <v>866.61</v>
      </c>
      <c r="AQ7" s="484">
        <v>928.19</v>
      </c>
      <c r="AR7" s="1111">
        <v>7121</v>
      </c>
      <c r="AS7" s="484">
        <v>6744</v>
      </c>
      <c r="AT7" s="1111">
        <v>81461</v>
      </c>
      <c r="AU7" s="484">
        <v>72755</v>
      </c>
      <c r="AV7" s="1111">
        <f t="shared" si="0"/>
        <v>4881070.61</v>
      </c>
      <c r="AW7" s="489">
        <f t="shared" si="1"/>
        <v>3816150.19</v>
      </c>
      <c r="AX7" s="1111"/>
      <c r="AY7" s="484"/>
      <c r="AZ7" s="1111">
        <f t="shared" si="2"/>
        <v>4881070.61</v>
      </c>
      <c r="BA7" s="484">
        <f t="shared" si="3"/>
        <v>3816150.19</v>
      </c>
    </row>
    <row r="8" spans="1:53" ht="16.5">
      <c r="A8" s="480" t="s">
        <v>337</v>
      </c>
      <c r="B8" s="33">
        <v>8243</v>
      </c>
      <c r="C8" s="484">
        <v>6430</v>
      </c>
      <c r="D8" s="1111"/>
      <c r="E8" s="1237"/>
      <c r="F8" s="1238"/>
      <c r="G8" s="484"/>
      <c r="H8" s="1111"/>
      <c r="I8" s="484"/>
      <c r="J8" s="1111"/>
      <c r="K8" s="484"/>
      <c r="L8" s="1111"/>
      <c r="M8" s="484"/>
      <c r="N8" s="1111"/>
      <c r="O8" s="484"/>
      <c r="P8" s="1111"/>
      <c r="Q8" s="484"/>
      <c r="R8" s="1111"/>
      <c r="S8" s="484"/>
      <c r="T8" s="1111"/>
      <c r="U8" s="484"/>
      <c r="V8" s="1111"/>
      <c r="W8" s="484"/>
      <c r="X8" s="1111">
        <v>103129</v>
      </c>
      <c r="Y8" s="484">
        <v>78089</v>
      </c>
      <c r="Z8" s="1111"/>
      <c r="AA8" s="484"/>
      <c r="AB8" s="1111">
        <v>3042</v>
      </c>
      <c r="AC8" s="484">
        <v>2198</v>
      </c>
      <c r="AD8" s="490"/>
      <c r="AE8" s="1159"/>
      <c r="AF8" s="1111"/>
      <c r="AG8" s="484"/>
      <c r="AH8" s="1111"/>
      <c r="AI8" s="484"/>
      <c r="AJ8" s="1111">
        <v>1776</v>
      </c>
      <c r="AK8" s="484">
        <v>1364</v>
      </c>
      <c r="AL8" s="1111"/>
      <c r="AM8" s="484"/>
      <c r="AN8" s="1111"/>
      <c r="AO8" s="484"/>
      <c r="AP8" s="1111"/>
      <c r="AQ8" s="484"/>
      <c r="AR8" s="1111"/>
      <c r="AS8" s="484"/>
      <c r="AT8" s="1111">
        <v>5745</v>
      </c>
      <c r="AU8" s="484">
        <v>4069</v>
      </c>
      <c r="AV8" s="1111">
        <f t="shared" si="0"/>
        <v>121935</v>
      </c>
      <c r="AW8" s="489">
        <f t="shared" si="1"/>
        <v>92150</v>
      </c>
      <c r="AX8" s="1111"/>
      <c r="AY8" s="484"/>
      <c r="AZ8" s="1111">
        <f t="shared" si="2"/>
        <v>121935</v>
      </c>
      <c r="BA8" s="484">
        <f t="shared" si="3"/>
        <v>92150</v>
      </c>
    </row>
    <row r="9" spans="1:53" ht="16.5">
      <c r="A9" s="480" t="s">
        <v>339</v>
      </c>
      <c r="B9" s="33"/>
      <c r="C9" s="484"/>
      <c r="D9" s="1111"/>
      <c r="E9" s="1237"/>
      <c r="F9" s="1238"/>
      <c r="G9" s="484"/>
      <c r="H9" s="1111"/>
      <c r="I9" s="484"/>
      <c r="J9" s="1111"/>
      <c r="K9" s="484"/>
      <c r="L9" s="1111"/>
      <c r="M9" s="484"/>
      <c r="N9" s="1111"/>
      <c r="O9" s="484"/>
      <c r="P9" s="1111"/>
      <c r="Q9" s="484"/>
      <c r="R9" s="1111"/>
      <c r="S9" s="484"/>
      <c r="T9" s="1111"/>
      <c r="U9" s="484"/>
      <c r="V9" s="1111"/>
      <c r="W9" s="484"/>
      <c r="X9" s="1111"/>
      <c r="Y9" s="484"/>
      <c r="Z9" s="1111"/>
      <c r="AA9" s="484"/>
      <c r="AB9" s="1111"/>
      <c r="AC9" s="484"/>
      <c r="AD9" s="490"/>
      <c r="AE9" s="1159"/>
      <c r="AF9" s="1111"/>
      <c r="AG9" s="484"/>
      <c r="AH9" s="1111"/>
      <c r="AI9" s="484"/>
      <c r="AJ9" s="1111"/>
      <c r="AK9" s="484"/>
      <c r="AL9" s="1111"/>
      <c r="AM9" s="484"/>
      <c r="AN9" s="1111"/>
      <c r="AO9" s="484"/>
      <c r="AP9" s="1111"/>
      <c r="AQ9" s="484"/>
      <c r="AR9" s="1111"/>
      <c r="AS9" s="484"/>
      <c r="AT9" s="1111"/>
      <c r="AU9" s="484"/>
      <c r="AV9" s="1111">
        <f t="shared" si="0"/>
        <v>0</v>
      </c>
      <c r="AW9" s="489">
        <f t="shared" si="1"/>
        <v>0</v>
      </c>
      <c r="AX9" s="1111"/>
      <c r="AY9" s="484"/>
      <c r="AZ9" s="1111">
        <f t="shared" si="2"/>
        <v>0</v>
      </c>
      <c r="BA9" s="484">
        <f t="shared" si="3"/>
        <v>0</v>
      </c>
    </row>
    <row r="10" spans="1:53" ht="16.5">
      <c r="A10" s="480" t="s">
        <v>340</v>
      </c>
      <c r="B10" s="33"/>
      <c r="C10" s="484"/>
      <c r="D10" s="1111"/>
      <c r="E10" s="1237"/>
      <c r="F10" s="1238"/>
      <c r="G10" s="484"/>
      <c r="H10" s="1111"/>
      <c r="I10" s="484"/>
      <c r="J10" s="1111"/>
      <c r="K10" s="484"/>
      <c r="L10" s="1111"/>
      <c r="M10" s="484"/>
      <c r="N10" s="1111"/>
      <c r="O10" s="484"/>
      <c r="P10" s="1111"/>
      <c r="Q10" s="484"/>
      <c r="R10" s="1111">
        <v>10766</v>
      </c>
      <c r="S10" s="484">
        <v>11159</v>
      </c>
      <c r="T10" s="1111"/>
      <c r="U10" s="484"/>
      <c r="V10" s="1111"/>
      <c r="W10" s="484"/>
      <c r="X10" s="1111"/>
      <c r="Y10" s="484"/>
      <c r="Z10" s="1111"/>
      <c r="AA10" s="484"/>
      <c r="AB10" s="1111"/>
      <c r="AC10" s="484"/>
      <c r="AD10" s="490"/>
      <c r="AE10" s="1159"/>
      <c r="AF10" s="1111"/>
      <c r="AG10" s="484"/>
      <c r="AH10" s="1111"/>
      <c r="AI10" s="484"/>
      <c r="AJ10" s="1111"/>
      <c r="AK10" s="484"/>
      <c r="AL10" s="1111"/>
      <c r="AM10" s="484"/>
      <c r="AN10" s="1111"/>
      <c r="AO10" s="484"/>
      <c r="AP10" s="1111"/>
      <c r="AQ10" s="484"/>
      <c r="AR10" s="1111"/>
      <c r="AS10" s="484"/>
      <c r="AT10" s="1111"/>
      <c r="AU10" s="484"/>
      <c r="AV10" s="1111">
        <f t="shared" si="0"/>
        <v>10766</v>
      </c>
      <c r="AW10" s="489">
        <f t="shared" si="1"/>
        <v>11159</v>
      </c>
      <c r="AX10" s="1111"/>
      <c r="AY10" s="484"/>
      <c r="AZ10" s="1111">
        <f t="shared" si="2"/>
        <v>10766</v>
      </c>
      <c r="BA10" s="484">
        <f t="shared" si="3"/>
        <v>11159</v>
      </c>
    </row>
    <row r="11" spans="1:53" ht="16.5">
      <c r="A11" s="345" t="s">
        <v>338</v>
      </c>
      <c r="B11" s="1241"/>
      <c r="C11" s="484"/>
      <c r="D11" s="1111"/>
      <c r="E11" s="484"/>
      <c r="F11" s="1111"/>
      <c r="G11" s="484"/>
      <c r="H11" s="1111"/>
      <c r="I11" s="484"/>
      <c r="J11" s="1111"/>
      <c r="K11" s="484"/>
      <c r="L11" s="1111"/>
      <c r="M11" s="484"/>
      <c r="N11" s="1111"/>
      <c r="O11" s="484"/>
      <c r="P11" s="1111"/>
      <c r="Q11" s="484"/>
      <c r="R11" s="1111"/>
      <c r="S11" s="484"/>
      <c r="T11" s="1111"/>
      <c r="U11" s="484"/>
      <c r="V11" s="1111"/>
      <c r="W11" s="484"/>
      <c r="X11" s="1111"/>
      <c r="Y11" s="484"/>
      <c r="Z11" s="1111"/>
      <c r="AA11" s="484"/>
      <c r="AB11" s="1111"/>
      <c r="AC11" s="484"/>
      <c r="AD11" s="490"/>
      <c r="AE11" s="1159"/>
      <c r="AF11" s="1111"/>
      <c r="AG11" s="484"/>
      <c r="AH11" s="1111"/>
      <c r="AI11" s="484"/>
      <c r="AJ11" s="1111"/>
      <c r="AK11" s="484"/>
      <c r="AL11" s="1111"/>
      <c r="AM11" s="484"/>
      <c r="AN11" s="1111"/>
      <c r="AO11" s="484"/>
      <c r="AP11" s="1111"/>
      <c r="AQ11" s="484"/>
      <c r="AR11" s="1111"/>
      <c r="AS11" s="484"/>
      <c r="AT11" s="1111"/>
      <c r="AU11" s="484"/>
      <c r="AV11" s="1111">
        <f t="shared" si="0"/>
        <v>0</v>
      </c>
      <c r="AW11" s="489">
        <f t="shared" si="1"/>
        <v>0</v>
      </c>
      <c r="AX11" s="1111"/>
      <c r="AY11" s="484"/>
      <c r="AZ11" s="1111">
        <f t="shared" si="2"/>
        <v>0</v>
      </c>
      <c r="BA11" s="484">
        <f t="shared" si="3"/>
        <v>0</v>
      </c>
    </row>
    <row r="12" spans="1:53" ht="16.5">
      <c r="A12" s="480" t="s">
        <v>334</v>
      </c>
      <c r="B12" s="33">
        <v>1388109</v>
      </c>
      <c r="C12" s="484">
        <v>1063363</v>
      </c>
      <c r="D12" s="1111">
        <v>180240</v>
      </c>
      <c r="E12" s="484">
        <v>150600</v>
      </c>
      <c r="F12" s="1111">
        <v>629089</v>
      </c>
      <c r="G12" s="484">
        <v>548303</v>
      </c>
      <c r="H12" s="1111">
        <v>2172691</v>
      </c>
      <c r="I12" s="484">
        <v>1841298</v>
      </c>
      <c r="J12" s="1111">
        <v>735815</v>
      </c>
      <c r="K12" s="484">
        <v>584114</v>
      </c>
      <c r="L12" s="1111">
        <v>664766</v>
      </c>
      <c r="M12" s="484">
        <v>495570</v>
      </c>
      <c r="N12" s="1111">
        <v>431729</v>
      </c>
      <c r="O12" s="484">
        <v>380379</v>
      </c>
      <c r="P12" s="1111">
        <v>249380</v>
      </c>
      <c r="Q12" s="484">
        <v>185546</v>
      </c>
      <c r="R12" s="1111">
        <v>1254036</v>
      </c>
      <c r="S12" s="484">
        <v>1079462</v>
      </c>
      <c r="T12" s="1111">
        <v>383795</v>
      </c>
      <c r="U12" s="484">
        <v>317578</v>
      </c>
      <c r="V12" s="1111">
        <v>6030387</v>
      </c>
      <c r="W12" s="484">
        <v>4722377</v>
      </c>
      <c r="X12" s="1111">
        <v>5076127</v>
      </c>
      <c r="Y12" s="484">
        <v>4069781</v>
      </c>
      <c r="Z12" s="1111">
        <v>747043</v>
      </c>
      <c r="AA12" s="484">
        <v>650753</v>
      </c>
      <c r="AB12" s="1111">
        <v>478358</v>
      </c>
      <c r="AC12" s="484">
        <v>350699</v>
      </c>
      <c r="AD12" s="490">
        <v>2075333</v>
      </c>
      <c r="AE12" s="1159">
        <v>1662894</v>
      </c>
      <c r="AF12" s="1111">
        <v>5501334</v>
      </c>
      <c r="AG12" s="484">
        <v>4507264</v>
      </c>
      <c r="AH12" s="1111"/>
      <c r="AI12" s="484">
        <v>1541357</v>
      </c>
      <c r="AJ12" s="1111">
        <v>1658082</v>
      </c>
      <c r="AK12" s="484">
        <v>1450877</v>
      </c>
      <c r="AL12" s="1111"/>
      <c r="AM12" s="484"/>
      <c r="AN12" s="1111">
        <v>7707986</v>
      </c>
      <c r="AO12" s="484">
        <v>6459294</v>
      </c>
      <c r="AP12" s="1111">
        <v>524885.48</v>
      </c>
      <c r="AQ12" s="484">
        <v>409476</v>
      </c>
      <c r="AR12" s="1111">
        <v>714045</v>
      </c>
      <c r="AS12" s="484">
        <v>566305</v>
      </c>
      <c r="AT12" s="1111">
        <v>2477930</v>
      </c>
      <c r="AU12" s="484">
        <v>1827116</v>
      </c>
      <c r="AV12" s="1111">
        <f t="shared" si="0"/>
        <v>41081160.48</v>
      </c>
      <c r="AW12" s="489">
        <f t="shared" si="1"/>
        <v>34864406</v>
      </c>
      <c r="AX12" s="1111"/>
      <c r="AY12" s="484"/>
      <c r="AZ12" s="1111">
        <f t="shared" si="2"/>
        <v>41081160.48</v>
      </c>
      <c r="BA12" s="484">
        <f t="shared" si="3"/>
        <v>34864406</v>
      </c>
    </row>
    <row r="13" spans="1:53" ht="16.5">
      <c r="A13" s="480" t="s">
        <v>335</v>
      </c>
      <c r="B13" s="33">
        <v>30196</v>
      </c>
      <c r="C13" s="484">
        <v>21252</v>
      </c>
      <c r="D13" s="1111">
        <v>26</v>
      </c>
      <c r="E13" s="484">
        <v>30</v>
      </c>
      <c r="F13" s="1111">
        <v>5436</v>
      </c>
      <c r="G13" s="484">
        <v>4676</v>
      </c>
      <c r="H13" s="1111">
        <v>24405</v>
      </c>
      <c r="I13" s="484">
        <v>19373</v>
      </c>
      <c r="J13" s="1111"/>
      <c r="K13" s="484"/>
      <c r="L13" s="1111">
        <v>65808</v>
      </c>
      <c r="M13" s="484">
        <v>23863</v>
      </c>
      <c r="N13" s="1111"/>
      <c r="O13" s="484"/>
      <c r="P13" s="1111">
        <v>3833</v>
      </c>
      <c r="Q13" s="484">
        <v>3658</v>
      </c>
      <c r="R13" s="1111">
        <v>19410</v>
      </c>
      <c r="S13" s="484">
        <v>13323</v>
      </c>
      <c r="T13" s="1111">
        <v>1303</v>
      </c>
      <c r="U13" s="484">
        <v>1043</v>
      </c>
      <c r="V13" s="1111">
        <v>1184165</v>
      </c>
      <c r="W13" s="484">
        <v>778089</v>
      </c>
      <c r="X13" s="1111">
        <v>711383</v>
      </c>
      <c r="Y13" s="484">
        <v>460617</v>
      </c>
      <c r="Z13" s="1111">
        <v>6142</v>
      </c>
      <c r="AA13" s="484">
        <v>733</v>
      </c>
      <c r="AB13" s="1111">
        <v>867</v>
      </c>
      <c r="AC13" s="484">
        <v>355</v>
      </c>
      <c r="AD13" s="490">
        <v>71404</v>
      </c>
      <c r="AE13" s="1159">
        <v>45322</v>
      </c>
      <c r="AF13" s="1111">
        <v>80285</v>
      </c>
      <c r="AG13" s="484">
        <v>31795</v>
      </c>
      <c r="AH13" s="1111"/>
      <c r="AI13" s="484">
        <v>3611</v>
      </c>
      <c r="AJ13" s="1111">
        <v>12354</v>
      </c>
      <c r="AK13" s="484">
        <v>8313</v>
      </c>
      <c r="AL13" s="1111"/>
      <c r="AM13" s="484"/>
      <c r="AN13" s="1111">
        <v>717834</v>
      </c>
      <c r="AO13" s="484">
        <v>410160</v>
      </c>
      <c r="AP13" s="1111">
        <v>3916.01</v>
      </c>
      <c r="AQ13" s="484">
        <v>820.01</v>
      </c>
      <c r="AR13" s="1111">
        <v>37778</v>
      </c>
      <c r="AS13" s="484">
        <v>22501</v>
      </c>
      <c r="AT13" s="1111">
        <v>72396</v>
      </c>
      <c r="AU13" s="484">
        <v>44784</v>
      </c>
      <c r="AV13" s="1111">
        <f t="shared" si="0"/>
        <v>3048941.01</v>
      </c>
      <c r="AW13" s="489">
        <f t="shared" si="1"/>
        <v>1894318.01</v>
      </c>
      <c r="AX13" s="1111"/>
      <c r="AY13" s="484"/>
      <c r="AZ13" s="1111">
        <f t="shared" si="2"/>
        <v>3048941.01</v>
      </c>
      <c r="BA13" s="484">
        <f t="shared" si="3"/>
        <v>1894318.01</v>
      </c>
    </row>
    <row r="14" spans="1:53" ht="16.5">
      <c r="A14" s="480" t="s">
        <v>336</v>
      </c>
      <c r="B14" s="33">
        <v>313892</v>
      </c>
      <c r="C14" s="484">
        <v>239267</v>
      </c>
      <c r="D14" s="1111">
        <v>266</v>
      </c>
      <c r="E14" s="484">
        <v>313</v>
      </c>
      <c r="F14" s="1111">
        <v>18507</v>
      </c>
      <c r="G14" s="484">
        <v>25677</v>
      </c>
      <c r="H14" s="1111">
        <v>1006728</v>
      </c>
      <c r="I14" s="484">
        <v>805980</v>
      </c>
      <c r="J14" s="1111">
        <v>524</v>
      </c>
      <c r="K14" s="484">
        <v>637</v>
      </c>
      <c r="L14" s="1111">
        <v>88266</v>
      </c>
      <c r="M14" s="484">
        <v>70153</v>
      </c>
      <c r="N14" s="1111"/>
      <c r="O14" s="484"/>
      <c r="P14" s="1111">
        <v>9191</v>
      </c>
      <c r="Q14" s="484">
        <v>7658</v>
      </c>
      <c r="R14" s="1111">
        <f>183903+2158</f>
        <v>186061</v>
      </c>
      <c r="S14" s="484">
        <f>1199+183731</f>
        <v>184930</v>
      </c>
      <c r="T14" s="1111">
        <v>38444</v>
      </c>
      <c r="U14" s="484">
        <v>39726</v>
      </c>
      <c r="V14" s="1111">
        <v>1299732</v>
      </c>
      <c r="W14" s="484">
        <v>983098</v>
      </c>
      <c r="X14" s="1111">
        <v>115936</v>
      </c>
      <c r="Y14" s="484">
        <v>83674</v>
      </c>
      <c r="Z14" s="1111">
        <v>4681</v>
      </c>
      <c r="AA14" s="484">
        <v>5656</v>
      </c>
      <c r="AB14" s="1111">
        <v>542034</v>
      </c>
      <c r="AC14" s="484">
        <v>640297</v>
      </c>
      <c r="AD14" s="490">
        <v>75659</v>
      </c>
      <c r="AE14" s="1159">
        <v>66239</v>
      </c>
      <c r="AF14" s="1111">
        <v>6735</v>
      </c>
      <c r="AG14" s="484">
        <v>7163</v>
      </c>
      <c r="AH14" s="1111"/>
      <c r="AI14" s="484">
        <v>19265</v>
      </c>
      <c r="AJ14" s="1111">
        <v>11268</v>
      </c>
      <c r="AK14" s="484">
        <v>11626</v>
      </c>
      <c r="AL14" s="1111"/>
      <c r="AM14" s="484"/>
      <c r="AN14" s="1111">
        <v>712751</v>
      </c>
      <c r="AO14" s="484">
        <v>638694</v>
      </c>
      <c r="AP14" s="1111"/>
      <c r="AQ14" s="484"/>
      <c r="AR14" s="1111">
        <v>99497</v>
      </c>
      <c r="AS14" s="484">
        <v>69276</v>
      </c>
      <c r="AT14" s="1111">
        <v>70777</v>
      </c>
      <c r="AU14" s="484">
        <v>63292</v>
      </c>
      <c r="AV14" s="1111">
        <f t="shared" si="0"/>
        <v>4600949</v>
      </c>
      <c r="AW14" s="489">
        <f t="shared" si="1"/>
        <v>3962621</v>
      </c>
      <c r="AX14" s="1111"/>
      <c r="AY14" s="484"/>
      <c r="AZ14" s="1111">
        <f t="shared" si="2"/>
        <v>4600949</v>
      </c>
      <c r="BA14" s="484">
        <f t="shared" si="3"/>
        <v>3962621</v>
      </c>
    </row>
    <row r="15" spans="1:53" ht="16.5">
      <c r="A15" s="480" t="s">
        <v>337</v>
      </c>
      <c r="B15" s="33">
        <v>93</v>
      </c>
      <c r="C15" s="484">
        <v>83</v>
      </c>
      <c r="D15" s="1111">
        <v>258</v>
      </c>
      <c r="E15" s="484">
        <v>206</v>
      </c>
      <c r="F15" s="1111">
        <v>1654</v>
      </c>
      <c r="G15" s="484">
        <v>1147</v>
      </c>
      <c r="H15" s="1111">
        <v>1645</v>
      </c>
      <c r="I15" s="484">
        <v>1175</v>
      </c>
      <c r="J15" s="1111">
        <v>2236</v>
      </c>
      <c r="K15" s="484">
        <v>1586</v>
      </c>
      <c r="L15" s="1111">
        <v>461</v>
      </c>
      <c r="M15" s="484">
        <v>377</v>
      </c>
      <c r="N15" s="1111">
        <v>543</v>
      </c>
      <c r="O15" s="484">
        <v>241</v>
      </c>
      <c r="P15" s="1111">
        <v>548</v>
      </c>
      <c r="Q15" s="484">
        <v>487</v>
      </c>
      <c r="R15" s="1111">
        <v>111</v>
      </c>
      <c r="S15" s="484">
        <v>82</v>
      </c>
      <c r="T15" s="1111">
        <v>891</v>
      </c>
      <c r="U15" s="484">
        <v>955</v>
      </c>
      <c r="V15" s="1111">
        <v>6233</v>
      </c>
      <c r="W15" s="484">
        <v>5853</v>
      </c>
      <c r="X15" s="1111">
        <v>3517</v>
      </c>
      <c r="Y15" s="484">
        <v>5189</v>
      </c>
      <c r="Z15" s="1111">
        <v>13</v>
      </c>
      <c r="AA15" s="484">
        <v>7</v>
      </c>
      <c r="AB15" s="1111">
        <v>307</v>
      </c>
      <c r="AC15" s="484">
        <v>301</v>
      </c>
      <c r="AD15" s="490">
        <v>210</v>
      </c>
      <c r="AE15" s="1159"/>
      <c r="AF15" s="1111">
        <v>1000</v>
      </c>
      <c r="AG15" s="484">
        <v>1853</v>
      </c>
      <c r="AH15" s="1111"/>
      <c r="AI15" s="484">
        <v>15459</v>
      </c>
      <c r="AJ15" s="1111">
        <v>1121</v>
      </c>
      <c r="AK15" s="484">
        <v>1225</v>
      </c>
      <c r="AL15" s="1111"/>
      <c r="AM15" s="484"/>
      <c r="AN15" s="1111">
        <v>1019</v>
      </c>
      <c r="AO15" s="484">
        <v>208</v>
      </c>
      <c r="AP15" s="1111">
        <v>35.12</v>
      </c>
      <c r="AQ15" s="484">
        <v>55.64</v>
      </c>
      <c r="AR15" s="1111">
        <v>10513</v>
      </c>
      <c r="AS15" s="484">
        <v>8045</v>
      </c>
      <c r="AT15" s="1111">
        <v>2476</v>
      </c>
      <c r="AU15" s="484">
        <v>2423</v>
      </c>
      <c r="AV15" s="1111">
        <f t="shared" si="0"/>
        <v>34884.119999999995</v>
      </c>
      <c r="AW15" s="489">
        <f t="shared" si="1"/>
        <v>46957.64</v>
      </c>
      <c r="AX15" s="1111"/>
      <c r="AY15" s="484"/>
      <c r="AZ15" s="1111">
        <f t="shared" si="2"/>
        <v>34884.119999999995</v>
      </c>
      <c r="BA15" s="484">
        <f t="shared" si="3"/>
        <v>46957.64</v>
      </c>
    </row>
    <row r="16" spans="1:53" ht="16.5">
      <c r="A16" s="1244" t="s">
        <v>339</v>
      </c>
      <c r="B16" s="1242">
        <v>481324</v>
      </c>
      <c r="C16" s="484">
        <v>352644</v>
      </c>
      <c r="D16" s="1111"/>
      <c r="E16" s="484"/>
      <c r="F16" s="1111"/>
      <c r="G16" s="484"/>
      <c r="H16" s="1111"/>
      <c r="I16" s="484"/>
      <c r="J16" s="1111"/>
      <c r="K16" s="484"/>
      <c r="L16" s="1111"/>
      <c r="M16" s="484"/>
      <c r="N16" s="1111"/>
      <c r="O16" s="484"/>
      <c r="P16" s="1111"/>
      <c r="Q16" s="484"/>
      <c r="R16" s="1111"/>
      <c r="S16" s="484"/>
      <c r="T16" s="1111"/>
      <c r="U16" s="484"/>
      <c r="V16" s="1111"/>
      <c r="W16" s="484"/>
      <c r="X16" s="1111"/>
      <c r="Y16" s="484"/>
      <c r="Z16" s="1111"/>
      <c r="AA16" s="484"/>
      <c r="AB16" s="1111"/>
      <c r="AC16" s="484"/>
      <c r="AD16" s="490"/>
      <c r="AE16" s="1159"/>
      <c r="AF16" s="1111"/>
      <c r="AG16" s="484"/>
      <c r="AH16" s="1111"/>
      <c r="AI16" s="484"/>
      <c r="AJ16" s="1111"/>
      <c r="AK16" s="484"/>
      <c r="AL16" s="1111"/>
      <c r="AM16" s="484"/>
      <c r="AN16" s="1111"/>
      <c r="AO16" s="484"/>
      <c r="AP16" s="1111"/>
      <c r="AQ16" s="484"/>
      <c r="AR16" s="1111"/>
      <c r="AS16" s="484"/>
      <c r="AT16" s="1111"/>
      <c r="AU16" s="484"/>
      <c r="AV16" s="1111">
        <f t="shared" si="0"/>
        <v>481324</v>
      </c>
      <c r="AW16" s="489">
        <f t="shared" si="1"/>
        <v>352644</v>
      </c>
      <c r="AX16" s="1111"/>
      <c r="AY16" s="484"/>
      <c r="AZ16" s="1111">
        <f t="shared" si="2"/>
        <v>481324</v>
      </c>
      <c r="BA16" s="484">
        <f t="shared" si="3"/>
        <v>352644</v>
      </c>
    </row>
    <row r="17" spans="1:53" ht="16.5">
      <c r="A17" s="480" t="s">
        <v>340</v>
      </c>
      <c r="B17" s="33"/>
      <c r="C17" s="484"/>
      <c r="D17" s="1111"/>
      <c r="E17" s="484"/>
      <c r="F17" s="1111"/>
      <c r="G17" s="484"/>
      <c r="H17" s="1111"/>
      <c r="I17" s="484"/>
      <c r="J17" s="1111"/>
      <c r="K17" s="484"/>
      <c r="L17" s="1111"/>
      <c r="M17" s="484"/>
      <c r="N17" s="1111"/>
      <c r="O17" s="484"/>
      <c r="P17" s="1111"/>
      <c r="Q17" s="484"/>
      <c r="R17" s="1111">
        <v>5656</v>
      </c>
      <c r="S17" s="484">
        <v>5194</v>
      </c>
      <c r="T17" s="1111"/>
      <c r="U17" s="484"/>
      <c r="V17" s="1111"/>
      <c r="W17" s="484"/>
      <c r="X17" s="1111"/>
      <c r="Y17" s="484"/>
      <c r="Z17" s="1111"/>
      <c r="AA17" s="484"/>
      <c r="AB17" s="1111"/>
      <c r="AC17" s="484"/>
      <c r="AD17" s="490"/>
      <c r="AE17" s="1159"/>
      <c r="AF17" s="1111"/>
      <c r="AG17" s="484"/>
      <c r="AH17" s="1111"/>
      <c r="AI17" s="484"/>
      <c r="AJ17" s="1111"/>
      <c r="AK17" s="484"/>
      <c r="AL17" s="1111"/>
      <c r="AM17" s="484"/>
      <c r="AN17" s="1111"/>
      <c r="AO17" s="484"/>
      <c r="AP17" s="1111"/>
      <c r="AQ17" s="484"/>
      <c r="AR17" s="1111"/>
      <c r="AS17" s="484"/>
      <c r="AT17" s="1111"/>
      <c r="AU17" s="484"/>
      <c r="AV17" s="1111">
        <f t="shared" si="0"/>
        <v>5656</v>
      </c>
      <c r="AW17" s="489">
        <f t="shared" si="1"/>
        <v>5194</v>
      </c>
      <c r="AX17" s="1111"/>
      <c r="AY17" s="484"/>
      <c r="AZ17" s="1111">
        <f t="shared" si="2"/>
        <v>5656</v>
      </c>
      <c r="BA17" s="484">
        <f t="shared" si="3"/>
        <v>5194</v>
      </c>
    </row>
    <row r="18" spans="1:53" ht="16.5">
      <c r="A18" s="489" t="s">
        <v>341</v>
      </c>
      <c r="B18" s="490"/>
      <c r="C18" s="484"/>
      <c r="D18" s="1111"/>
      <c r="E18" s="484"/>
      <c r="F18" s="1111"/>
      <c r="G18" s="484"/>
      <c r="H18" s="1111"/>
      <c r="I18" s="484"/>
      <c r="J18" s="1111"/>
      <c r="K18" s="484"/>
      <c r="L18" s="1111"/>
      <c r="M18" s="484"/>
      <c r="N18" s="1111"/>
      <c r="O18" s="484"/>
      <c r="P18" s="1111"/>
      <c r="Q18" s="484"/>
      <c r="R18" s="1111"/>
      <c r="S18" s="484"/>
      <c r="T18" s="1111"/>
      <c r="U18" s="484"/>
      <c r="V18" s="1111"/>
      <c r="W18" s="484"/>
      <c r="X18" s="1111"/>
      <c r="Y18" s="484"/>
      <c r="Z18" s="1111"/>
      <c r="AA18" s="484"/>
      <c r="AB18" s="1111"/>
      <c r="AC18" s="484"/>
      <c r="AD18" s="490"/>
      <c r="AE18" s="1159"/>
      <c r="AF18" s="1111"/>
      <c r="AG18" s="484"/>
      <c r="AH18" s="1111"/>
      <c r="AI18" s="484"/>
      <c r="AJ18" s="1111"/>
      <c r="AK18" s="484"/>
      <c r="AL18" s="1111"/>
      <c r="AM18" s="484"/>
      <c r="AN18" s="1111"/>
      <c r="AO18" s="484"/>
      <c r="AP18" s="1111"/>
      <c r="AQ18" s="484"/>
      <c r="AR18" s="1111"/>
      <c r="AS18" s="484"/>
      <c r="AT18" s="1111"/>
      <c r="AU18" s="484"/>
      <c r="AV18" s="1111">
        <f t="shared" si="0"/>
        <v>0</v>
      </c>
      <c r="AW18" s="489">
        <f t="shared" si="1"/>
        <v>0</v>
      </c>
      <c r="AX18" s="1111"/>
      <c r="AY18" s="484"/>
      <c r="AZ18" s="1111">
        <f t="shared" si="2"/>
        <v>0</v>
      </c>
      <c r="BA18" s="484">
        <f t="shared" si="3"/>
        <v>0</v>
      </c>
    </row>
    <row r="19" spans="1:53" ht="16.5">
      <c r="A19" s="480" t="s">
        <v>334</v>
      </c>
      <c r="B19" s="33"/>
      <c r="C19" s="484"/>
      <c r="D19" s="1111"/>
      <c r="E19" s="484"/>
      <c r="F19" s="1111"/>
      <c r="G19" s="484"/>
      <c r="H19" s="1111"/>
      <c r="I19" s="484"/>
      <c r="J19" s="1111"/>
      <c r="K19" s="484"/>
      <c r="L19" s="1111"/>
      <c r="M19" s="484"/>
      <c r="N19" s="1111"/>
      <c r="O19" s="484"/>
      <c r="P19" s="1111"/>
      <c r="Q19" s="484"/>
      <c r="R19" s="1111"/>
      <c r="S19" s="484"/>
      <c r="T19" s="1111"/>
      <c r="U19" s="484"/>
      <c r="V19" s="1111"/>
      <c r="W19" s="484"/>
      <c r="X19" s="1111">
        <v>23315</v>
      </c>
      <c r="Y19" s="484">
        <v>20512</v>
      </c>
      <c r="Z19" s="1111"/>
      <c r="AA19" s="484"/>
      <c r="AB19" s="1111"/>
      <c r="AC19" s="484"/>
      <c r="AD19" s="490"/>
      <c r="AE19" s="1159"/>
      <c r="AF19" s="1111"/>
      <c r="AG19" s="484"/>
      <c r="AH19" s="1111"/>
      <c r="AI19" s="484"/>
      <c r="AJ19" s="1111"/>
      <c r="AK19" s="484"/>
      <c r="AL19" s="1111"/>
      <c r="AM19" s="484"/>
      <c r="AN19" s="1111"/>
      <c r="AO19" s="484"/>
      <c r="AP19" s="1111"/>
      <c r="AQ19" s="484"/>
      <c r="AR19" s="1111"/>
      <c r="AS19" s="484"/>
      <c r="AT19" s="1111"/>
      <c r="AU19" s="484"/>
      <c r="AV19" s="1111">
        <f t="shared" si="0"/>
        <v>23315</v>
      </c>
      <c r="AW19" s="489">
        <f t="shared" si="1"/>
        <v>20512</v>
      </c>
      <c r="AX19" s="1111"/>
      <c r="AY19" s="484"/>
      <c r="AZ19" s="1111">
        <f t="shared" si="2"/>
        <v>23315</v>
      </c>
      <c r="BA19" s="484">
        <f t="shared" si="3"/>
        <v>20512</v>
      </c>
    </row>
    <row r="20" spans="1:53" ht="16.5">
      <c r="A20" s="480" t="s">
        <v>335</v>
      </c>
      <c r="B20" s="33"/>
      <c r="C20" s="484"/>
      <c r="D20" s="1111"/>
      <c r="E20" s="484"/>
      <c r="F20" s="1111"/>
      <c r="G20" s="484"/>
      <c r="H20" s="1111"/>
      <c r="I20" s="484"/>
      <c r="J20" s="1111"/>
      <c r="K20" s="484"/>
      <c r="L20" s="1111"/>
      <c r="M20" s="484"/>
      <c r="N20" s="1111"/>
      <c r="O20" s="484"/>
      <c r="P20" s="1111"/>
      <c r="Q20" s="484"/>
      <c r="R20" s="1111"/>
      <c r="S20" s="484"/>
      <c r="T20" s="1111"/>
      <c r="U20" s="484"/>
      <c r="V20" s="1111"/>
      <c r="W20" s="484"/>
      <c r="X20" s="1111"/>
      <c r="Y20" s="484"/>
      <c r="Z20" s="1111"/>
      <c r="AA20" s="484"/>
      <c r="AB20" s="1111"/>
      <c r="AC20" s="484"/>
      <c r="AD20" s="490"/>
      <c r="AE20" s="1159"/>
      <c r="AF20" s="1111"/>
      <c r="AG20" s="484"/>
      <c r="AH20" s="1111"/>
      <c r="AI20" s="484"/>
      <c r="AJ20" s="1111"/>
      <c r="AK20" s="484"/>
      <c r="AL20" s="1111"/>
      <c r="AM20" s="484"/>
      <c r="AN20" s="1111"/>
      <c r="AO20" s="484"/>
      <c r="AP20" s="1111"/>
      <c r="AQ20" s="484"/>
      <c r="AR20" s="1111"/>
      <c r="AS20" s="484"/>
      <c r="AT20" s="1111"/>
      <c r="AU20" s="484"/>
      <c r="AV20" s="1111">
        <f t="shared" si="0"/>
        <v>0</v>
      </c>
      <c r="AW20" s="489">
        <f t="shared" si="1"/>
        <v>0</v>
      </c>
      <c r="AX20" s="1111"/>
      <c r="AY20" s="484"/>
      <c r="AZ20" s="1111">
        <f t="shared" si="2"/>
        <v>0</v>
      </c>
      <c r="BA20" s="484">
        <f t="shared" si="3"/>
        <v>0</v>
      </c>
    </row>
    <row r="21" spans="1:53" ht="16.5">
      <c r="A21" s="480" t="s">
        <v>336</v>
      </c>
      <c r="B21" s="33"/>
      <c r="C21" s="484"/>
      <c r="D21" s="1111"/>
      <c r="E21" s="484"/>
      <c r="F21" s="1111"/>
      <c r="G21" s="484"/>
      <c r="H21" s="1111"/>
      <c r="I21" s="484"/>
      <c r="J21" s="1111"/>
      <c r="K21" s="484"/>
      <c r="L21" s="1111"/>
      <c r="M21" s="484"/>
      <c r="N21" s="1111"/>
      <c r="O21" s="484"/>
      <c r="P21" s="1111"/>
      <c r="Q21" s="484"/>
      <c r="R21" s="1111"/>
      <c r="S21" s="484"/>
      <c r="T21" s="1111"/>
      <c r="U21" s="484"/>
      <c r="V21" s="1111"/>
      <c r="W21" s="484"/>
      <c r="X21" s="1111">
        <v>17153</v>
      </c>
      <c r="Y21" s="484">
        <v>15568</v>
      </c>
      <c r="Z21" s="1111"/>
      <c r="AA21" s="484"/>
      <c r="AB21" s="1111"/>
      <c r="AC21" s="484"/>
      <c r="AD21" s="490"/>
      <c r="AE21" s="1159"/>
      <c r="AF21" s="1111"/>
      <c r="AG21" s="484"/>
      <c r="AH21" s="1111"/>
      <c r="AI21" s="484"/>
      <c r="AJ21" s="1111"/>
      <c r="AK21" s="484"/>
      <c r="AL21" s="1111"/>
      <c r="AM21" s="484"/>
      <c r="AN21" s="1111"/>
      <c r="AO21" s="484"/>
      <c r="AP21" s="1111"/>
      <c r="AQ21" s="484"/>
      <c r="AR21" s="1111"/>
      <c r="AS21" s="484"/>
      <c r="AT21" s="1111"/>
      <c r="AU21" s="484"/>
      <c r="AV21" s="1111">
        <f t="shared" si="0"/>
        <v>17153</v>
      </c>
      <c r="AW21" s="489">
        <f t="shared" si="1"/>
        <v>15568</v>
      </c>
      <c r="AX21" s="1111"/>
      <c r="AY21" s="484"/>
      <c r="AZ21" s="1111">
        <f t="shared" si="2"/>
        <v>17153</v>
      </c>
      <c r="BA21" s="484">
        <f t="shared" si="3"/>
        <v>15568</v>
      </c>
    </row>
    <row r="22" spans="1:53" ht="17.25" thickBot="1">
      <c r="A22" s="1245" t="s">
        <v>337</v>
      </c>
      <c r="B22" s="1243"/>
      <c r="C22" s="1228"/>
      <c r="D22" s="1227"/>
      <c r="E22" s="1228"/>
      <c r="F22" s="1227"/>
      <c r="G22" s="1228"/>
      <c r="H22" s="1227"/>
      <c r="I22" s="1228"/>
      <c r="J22" s="1227"/>
      <c r="K22" s="1228"/>
      <c r="L22" s="1227"/>
      <c r="M22" s="1228"/>
      <c r="N22" s="1227"/>
      <c r="O22" s="1228"/>
      <c r="P22" s="1227"/>
      <c r="Q22" s="1228"/>
      <c r="R22" s="1227"/>
      <c r="S22" s="1228"/>
      <c r="T22" s="1227"/>
      <c r="U22" s="1228"/>
      <c r="V22" s="1227"/>
      <c r="W22" s="1228"/>
      <c r="X22" s="1227"/>
      <c r="Y22" s="1228"/>
      <c r="Z22" s="1227"/>
      <c r="AA22" s="1228"/>
      <c r="AB22" s="1227"/>
      <c r="AC22" s="1228"/>
      <c r="AD22" s="1236"/>
      <c r="AE22" s="1229"/>
      <c r="AF22" s="1227"/>
      <c r="AG22" s="1228"/>
      <c r="AH22" s="1227"/>
      <c r="AI22" s="1228"/>
      <c r="AJ22" s="1227"/>
      <c r="AK22" s="1228"/>
      <c r="AL22" s="1227"/>
      <c r="AM22" s="1228"/>
      <c r="AN22" s="1227"/>
      <c r="AO22" s="1228"/>
      <c r="AP22" s="1227"/>
      <c r="AQ22" s="1228"/>
      <c r="AR22" s="1227"/>
      <c r="AS22" s="1228"/>
      <c r="AT22" s="1227"/>
      <c r="AU22" s="1228"/>
      <c r="AV22" s="1227">
        <f t="shared" si="0"/>
        <v>0</v>
      </c>
      <c r="AW22" s="1428">
        <f t="shared" si="1"/>
        <v>0</v>
      </c>
      <c r="AX22" s="1227"/>
      <c r="AY22" s="1228"/>
      <c r="AZ22" s="1227">
        <f t="shared" si="2"/>
        <v>0</v>
      </c>
      <c r="BA22" s="1228">
        <f t="shared" si="3"/>
        <v>0</v>
      </c>
    </row>
  </sheetData>
  <sheetProtection/>
  <mergeCells count="27"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V2:AW2"/>
    <mergeCell ref="AX2:AY2"/>
    <mergeCell ref="AZ2:BA2"/>
    <mergeCell ref="AJ2:AK2"/>
    <mergeCell ref="AL2:AM2"/>
    <mergeCell ref="AN2:AO2"/>
    <mergeCell ref="AP2:AQ2"/>
    <mergeCell ref="AR2:AS2"/>
    <mergeCell ref="AT2:AU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</sheetPr>
  <dimension ref="A1:EX8"/>
  <sheetViews>
    <sheetView zoomScalePageLayoutView="0" workbookViewId="0" topLeftCell="A1">
      <pane xSplit="1" topLeftCell="B1" activePane="topRight" state="frozen"/>
      <selection pane="topLeft" activeCell="A2" sqref="A2"/>
      <selection pane="topRight" activeCell="E10" sqref="E10"/>
    </sheetView>
  </sheetViews>
  <sheetFormatPr defaultColWidth="8.00390625" defaultRowHeight="15"/>
  <cols>
    <col min="1" max="1" width="11.7109375" style="11" customWidth="1"/>
    <col min="2" max="2" width="6.421875" style="11" customWidth="1"/>
    <col min="3" max="3" width="7.140625" style="11" customWidth="1"/>
    <col min="4" max="4" width="7.8515625" style="11" bestFit="1" customWidth="1"/>
    <col min="5" max="5" width="8.140625" style="11" customWidth="1"/>
    <col min="6" max="6" width="8.28125" style="11" customWidth="1"/>
    <col min="7" max="7" width="7.8515625" style="11" bestFit="1" customWidth="1"/>
    <col min="8" max="8" width="6.421875" style="11" bestFit="1" customWidth="1"/>
    <col min="9" max="9" width="6.28125" style="11" bestFit="1" customWidth="1"/>
    <col min="10" max="10" width="7.28125" style="11" bestFit="1" customWidth="1"/>
    <col min="11" max="11" width="6.421875" style="11" bestFit="1" customWidth="1"/>
    <col min="12" max="12" width="9.140625" style="11" bestFit="1" customWidth="1"/>
    <col min="13" max="13" width="7.28125" style="11" bestFit="1" customWidth="1"/>
    <col min="14" max="14" width="6.421875" style="11" bestFit="1" customWidth="1"/>
    <col min="15" max="15" width="6.28125" style="11" bestFit="1" customWidth="1"/>
    <col min="16" max="16" width="8.00390625" style="11" bestFit="1" customWidth="1"/>
    <col min="17" max="17" width="6.421875" style="11" bestFit="1" customWidth="1"/>
    <col min="18" max="18" width="9.140625" style="11" bestFit="1" customWidth="1"/>
    <col min="19" max="19" width="9.00390625" style="11" bestFit="1" customWidth="1"/>
    <col min="20" max="21" width="7.140625" style="11" bestFit="1" customWidth="1"/>
    <col min="22" max="22" width="7.421875" style="11" bestFit="1" customWidth="1"/>
    <col min="23" max="23" width="7.140625" style="11" customWidth="1"/>
    <col min="24" max="24" width="9.28125" style="11" customWidth="1"/>
    <col min="25" max="25" width="7.57421875" style="11" bestFit="1" customWidth="1"/>
    <col min="26" max="26" width="6.421875" style="11" bestFit="1" customWidth="1"/>
    <col min="27" max="27" width="6.28125" style="11" bestFit="1" customWidth="1"/>
    <col min="28" max="28" width="7.28125" style="11" bestFit="1" customWidth="1"/>
    <col min="29" max="29" width="7.00390625" style="11" bestFit="1" customWidth="1"/>
    <col min="30" max="30" width="7.7109375" style="11" bestFit="1" customWidth="1"/>
    <col min="31" max="31" width="7.28125" style="11" bestFit="1" customWidth="1"/>
    <col min="32" max="32" width="6.57421875" style="11" bestFit="1" customWidth="1"/>
    <col min="33" max="33" width="6.421875" style="11" bestFit="1" customWidth="1"/>
    <col min="34" max="34" width="7.421875" style="11" bestFit="1" customWidth="1"/>
    <col min="35" max="35" width="7.140625" style="11" bestFit="1" customWidth="1"/>
    <col min="36" max="36" width="8.57421875" style="11" customWidth="1"/>
    <col min="37" max="37" width="8.421875" style="11" customWidth="1"/>
    <col min="38" max="38" width="6.57421875" style="11" bestFit="1" customWidth="1"/>
    <col min="39" max="39" width="10.28125" style="11" bestFit="1" customWidth="1"/>
    <col min="40" max="40" width="7.421875" style="11" bestFit="1" customWidth="1"/>
    <col min="41" max="41" width="6.7109375" style="11" bestFit="1" customWidth="1"/>
    <col min="42" max="42" width="7.140625" style="11" bestFit="1" customWidth="1"/>
    <col min="43" max="43" width="7.421875" style="11" bestFit="1" customWidth="1"/>
    <col min="44" max="44" width="6.421875" style="11" bestFit="1" customWidth="1"/>
    <col min="45" max="45" width="6.7109375" style="11" bestFit="1" customWidth="1"/>
    <col min="46" max="46" width="7.28125" style="11" bestFit="1" customWidth="1"/>
    <col min="47" max="47" width="6.421875" style="11" bestFit="1" customWidth="1"/>
    <col min="48" max="48" width="7.00390625" style="11" bestFit="1" customWidth="1"/>
    <col min="49" max="49" width="7.28125" style="11" bestFit="1" customWidth="1"/>
    <col min="50" max="50" width="6.57421875" style="11" bestFit="1" customWidth="1"/>
    <col min="51" max="51" width="6.421875" style="11" bestFit="1" customWidth="1"/>
    <col min="52" max="52" width="7.421875" style="11" bestFit="1" customWidth="1"/>
    <col min="53" max="53" width="7.140625" style="11" bestFit="1" customWidth="1"/>
    <col min="54" max="54" width="7.8515625" style="11" bestFit="1" customWidth="1"/>
    <col min="55" max="55" width="7.421875" style="11" bestFit="1" customWidth="1"/>
    <col min="56" max="56" width="6.421875" style="11" bestFit="1" customWidth="1"/>
    <col min="57" max="57" width="6.28125" style="11" bestFit="1" customWidth="1"/>
    <col min="58" max="58" width="7.28125" style="11" bestFit="1" customWidth="1"/>
    <col min="59" max="59" width="12.57421875" style="11" bestFit="1" customWidth="1"/>
    <col min="60" max="60" width="10.7109375" style="11" bestFit="1" customWidth="1"/>
    <col min="61" max="61" width="7.421875" style="11" bestFit="1" customWidth="1"/>
    <col min="62" max="62" width="7.140625" style="11" bestFit="1" customWidth="1"/>
    <col min="63" max="63" width="10.7109375" style="11" bestFit="1" customWidth="1"/>
    <col min="64" max="64" width="9.8515625" style="11" customWidth="1"/>
    <col min="65" max="65" width="12.57421875" style="11" bestFit="1" customWidth="1"/>
    <col min="66" max="66" width="11.57421875" style="11" bestFit="1" customWidth="1"/>
    <col min="67" max="67" width="12.421875" style="11" customWidth="1"/>
    <col min="68" max="69" width="7.140625" style="11" bestFit="1" customWidth="1"/>
    <col min="70" max="70" width="7.421875" style="11" bestFit="1" customWidth="1"/>
    <col min="71" max="71" width="7.57421875" style="11" bestFit="1" customWidth="1"/>
    <col min="72" max="72" width="11.57421875" style="11" bestFit="1" customWidth="1"/>
    <col min="73" max="73" width="10.7109375" style="11" customWidth="1"/>
    <col min="74" max="74" width="6.421875" style="11" bestFit="1" customWidth="1"/>
    <col min="75" max="75" width="6.28125" style="11" bestFit="1" customWidth="1"/>
    <col min="76" max="76" width="7.28125" style="11" bestFit="1" customWidth="1"/>
    <col min="77" max="78" width="8.57421875" style="11" bestFit="1" customWidth="1"/>
    <col min="79" max="79" width="7.421875" style="11" bestFit="1" customWidth="1"/>
    <col min="80" max="80" width="6.57421875" style="11" bestFit="1" customWidth="1"/>
    <col min="81" max="81" width="6.421875" style="11" bestFit="1" customWidth="1"/>
    <col min="82" max="82" width="7.421875" style="11" bestFit="1" customWidth="1"/>
    <col min="83" max="83" width="6.421875" style="11" bestFit="1" customWidth="1"/>
    <col min="84" max="84" width="6.28125" style="11" bestFit="1" customWidth="1"/>
    <col min="85" max="85" width="7.28125" style="11" bestFit="1" customWidth="1"/>
    <col min="86" max="86" width="6.421875" style="11" bestFit="1" customWidth="1"/>
    <col min="87" max="87" width="6.28125" style="11" bestFit="1" customWidth="1"/>
    <col min="88" max="88" width="7.28125" style="11" bestFit="1" customWidth="1"/>
    <col min="89" max="89" width="12.421875" style="11" bestFit="1" customWidth="1"/>
    <col min="90" max="90" width="10.7109375" style="11" customWidth="1"/>
    <col min="91" max="91" width="8.00390625" style="11" customWidth="1"/>
    <col min="92" max="93" width="7.140625" style="11" bestFit="1" customWidth="1"/>
    <col min="94" max="94" width="8.00390625" style="11" customWidth="1"/>
    <col min="95" max="95" width="7.140625" style="11" bestFit="1" customWidth="1"/>
    <col min="96" max="96" width="8.8515625" style="11" customWidth="1"/>
    <col min="97" max="97" width="8.28125" style="11" customWidth="1"/>
    <col min="98" max="98" width="6.421875" style="11" bestFit="1" customWidth="1"/>
    <col min="99" max="99" width="6.28125" style="11" bestFit="1" customWidth="1"/>
    <col min="100" max="100" width="7.28125" style="11" bestFit="1" customWidth="1"/>
    <col min="101" max="102" width="7.00390625" style="11" bestFit="1" customWidth="1"/>
    <col min="103" max="103" width="7.28125" style="11" bestFit="1" customWidth="1"/>
    <col min="104" max="104" width="6.57421875" style="11" bestFit="1" customWidth="1"/>
    <col min="105" max="105" width="6.421875" style="11" bestFit="1" customWidth="1"/>
    <col min="106" max="106" width="7.421875" style="11" bestFit="1" customWidth="1"/>
    <col min="107" max="107" width="7.140625" style="11" bestFit="1" customWidth="1"/>
    <col min="108" max="108" width="9.140625" style="11" bestFit="1" customWidth="1"/>
    <col min="109" max="109" width="7.421875" style="11" bestFit="1" customWidth="1"/>
    <col min="110" max="110" width="6.421875" style="11" bestFit="1" customWidth="1"/>
    <col min="111" max="111" width="6.28125" style="11" bestFit="1" customWidth="1"/>
    <col min="112" max="112" width="7.28125" style="11" bestFit="1" customWidth="1"/>
    <col min="113" max="113" width="6.421875" style="11" bestFit="1" customWidth="1"/>
    <col min="114" max="114" width="6.28125" style="11" bestFit="1" customWidth="1"/>
    <col min="115" max="115" width="7.28125" style="11" bestFit="1" customWidth="1"/>
    <col min="116" max="117" width="8.00390625" style="11" bestFit="1" customWidth="1"/>
    <col min="118" max="118" width="7.7109375" style="11" bestFit="1" customWidth="1"/>
    <col min="119" max="119" width="9.140625" style="11" bestFit="1" customWidth="1"/>
    <col min="120" max="120" width="11.421875" style="11" bestFit="1" customWidth="1"/>
    <col min="121" max="121" width="8.8515625" style="11" bestFit="1" customWidth="1"/>
    <col min="122" max="122" width="7.28125" style="11" customWidth="1"/>
    <col min="123" max="123" width="7.7109375" style="11" bestFit="1" customWidth="1"/>
    <col min="124" max="124" width="8.28125" style="11" customWidth="1"/>
    <col min="125" max="125" width="7.00390625" style="11" bestFit="1" customWidth="1"/>
    <col min="126" max="126" width="8.00390625" style="11" bestFit="1" customWidth="1"/>
    <col min="127" max="127" width="8.00390625" style="11" customWidth="1"/>
    <col min="128" max="128" width="6.421875" style="11" bestFit="1" customWidth="1"/>
    <col min="129" max="129" width="6.28125" style="11" bestFit="1" customWidth="1"/>
    <col min="130" max="130" width="7.28125" style="11" bestFit="1" customWidth="1"/>
    <col min="131" max="131" width="6.421875" style="11" bestFit="1" customWidth="1"/>
    <col min="132" max="132" width="9.8515625" style="11" bestFit="1" customWidth="1"/>
    <col min="133" max="133" width="7.28125" style="11" bestFit="1" customWidth="1"/>
    <col min="134" max="134" width="8.421875" style="11" bestFit="1" customWidth="1"/>
    <col min="135" max="135" width="7.7109375" style="11" bestFit="1" customWidth="1"/>
    <col min="136" max="136" width="7.28125" style="11" bestFit="1" customWidth="1"/>
    <col min="137" max="137" width="8.421875" style="11" bestFit="1" customWidth="1"/>
    <col min="138" max="138" width="9.140625" style="11" bestFit="1" customWidth="1"/>
    <col min="139" max="139" width="7.7109375" style="11" bestFit="1" customWidth="1"/>
    <col min="140" max="142" width="8.00390625" style="11" bestFit="1" customWidth="1"/>
    <col min="143" max="144" width="9.00390625" style="11" bestFit="1" customWidth="1"/>
    <col min="145" max="145" width="10.00390625" style="11" bestFit="1" customWidth="1"/>
    <col min="146" max="146" width="8.00390625" style="41" customWidth="1"/>
    <col min="147" max="147" width="9.00390625" style="41" bestFit="1" customWidth="1"/>
    <col min="148" max="148" width="7.28125" style="11" bestFit="1" customWidth="1"/>
    <col min="149" max="149" width="9.00390625" style="11" bestFit="1" customWidth="1"/>
    <col min="150" max="150" width="10.00390625" style="11" bestFit="1" customWidth="1"/>
    <col min="151" max="151" width="7.28125" style="11" bestFit="1" customWidth="1"/>
    <col min="152" max="16384" width="8.00390625" style="11" customWidth="1"/>
  </cols>
  <sheetData>
    <row r="1" spans="2:145" ht="26.25" customHeight="1" thickBot="1">
      <c r="B1" s="341" t="s">
        <v>385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</row>
    <row r="2" spans="1:151" ht="27.75" customHeight="1" thickBot="1">
      <c r="A2" s="1703" t="s">
        <v>540</v>
      </c>
      <c r="B2" s="1710" t="s">
        <v>386</v>
      </c>
      <c r="C2" s="1710"/>
      <c r="D2" s="1710"/>
      <c r="E2" s="1710"/>
      <c r="F2" s="1710"/>
      <c r="G2" s="1711"/>
      <c r="H2" s="1617" t="s">
        <v>164</v>
      </c>
      <c r="I2" s="1709"/>
      <c r="J2" s="1709"/>
      <c r="K2" s="1709"/>
      <c r="L2" s="1709"/>
      <c r="M2" s="1618"/>
      <c r="N2" s="1712" t="s">
        <v>165</v>
      </c>
      <c r="O2" s="1712"/>
      <c r="P2" s="1712"/>
      <c r="Q2" s="1712"/>
      <c r="R2" s="1712"/>
      <c r="S2" s="1713"/>
      <c r="T2" s="1676" t="s">
        <v>387</v>
      </c>
      <c r="U2" s="1714"/>
      <c r="V2" s="1714"/>
      <c r="W2" s="1714"/>
      <c r="X2" s="1714"/>
      <c r="Y2" s="1714"/>
      <c r="Z2" s="1676" t="s">
        <v>388</v>
      </c>
      <c r="AA2" s="1714"/>
      <c r="AB2" s="1714"/>
      <c r="AC2" s="1714"/>
      <c r="AD2" s="1714"/>
      <c r="AE2" s="1677"/>
      <c r="AF2" s="1617" t="s">
        <v>389</v>
      </c>
      <c r="AG2" s="1709"/>
      <c r="AH2" s="1709"/>
      <c r="AI2" s="1709"/>
      <c r="AJ2" s="1709"/>
      <c r="AK2" s="1618"/>
      <c r="AL2" s="1617" t="s">
        <v>447</v>
      </c>
      <c r="AM2" s="1709"/>
      <c r="AN2" s="1709"/>
      <c r="AO2" s="1709"/>
      <c r="AP2" s="1709"/>
      <c r="AQ2" s="1618"/>
      <c r="AR2" s="1617" t="s">
        <v>213</v>
      </c>
      <c r="AS2" s="1709"/>
      <c r="AT2" s="1709"/>
      <c r="AU2" s="1709"/>
      <c r="AV2" s="1709"/>
      <c r="AW2" s="1618"/>
      <c r="AX2" s="1731" t="s">
        <v>390</v>
      </c>
      <c r="AY2" s="1732"/>
      <c r="AZ2" s="1732"/>
      <c r="BA2" s="1732"/>
      <c r="BB2" s="1732"/>
      <c r="BC2" s="1732"/>
      <c r="BD2" s="1715" t="s">
        <v>516</v>
      </c>
      <c r="BE2" s="1716"/>
      <c r="BF2" s="1716"/>
      <c r="BG2" s="1716"/>
      <c r="BH2" s="1716"/>
      <c r="BI2" s="1717"/>
      <c r="BJ2" s="936"/>
      <c r="BK2" s="1727" t="s">
        <v>391</v>
      </c>
      <c r="BL2" s="1716"/>
      <c r="BM2" s="1716"/>
      <c r="BN2" s="1716"/>
      <c r="BO2" s="1717"/>
      <c r="BP2" s="1617" t="s">
        <v>201</v>
      </c>
      <c r="BQ2" s="1709"/>
      <c r="BR2" s="1709"/>
      <c r="BS2" s="1709"/>
      <c r="BT2" s="1709"/>
      <c r="BU2" s="1618"/>
      <c r="BV2" s="1728" t="s">
        <v>532</v>
      </c>
      <c r="BW2" s="1729"/>
      <c r="BX2" s="1729"/>
      <c r="BY2" s="1729"/>
      <c r="BZ2" s="1729"/>
      <c r="CA2" s="1730"/>
      <c r="CB2" s="1715" t="s">
        <v>174</v>
      </c>
      <c r="CC2" s="1716"/>
      <c r="CD2" s="1716"/>
      <c r="CE2" s="1716"/>
      <c r="CF2" s="1716"/>
      <c r="CG2" s="1717"/>
      <c r="CH2" s="1724" t="s">
        <v>175</v>
      </c>
      <c r="CI2" s="1725"/>
      <c r="CJ2" s="1725"/>
      <c r="CK2" s="1725"/>
      <c r="CL2" s="1725"/>
      <c r="CM2" s="1726"/>
      <c r="CN2" s="1617" t="s">
        <v>176</v>
      </c>
      <c r="CO2" s="1709"/>
      <c r="CP2" s="1709"/>
      <c r="CQ2" s="1709"/>
      <c r="CR2" s="1709"/>
      <c r="CS2" s="1618"/>
      <c r="CT2" s="1715" t="s">
        <v>392</v>
      </c>
      <c r="CU2" s="1716"/>
      <c r="CV2" s="1716"/>
      <c r="CW2" s="1716"/>
      <c r="CX2" s="1716"/>
      <c r="CY2" s="1717"/>
      <c r="CZ2" s="1715" t="s">
        <v>197</v>
      </c>
      <c r="DA2" s="1716"/>
      <c r="DB2" s="1716"/>
      <c r="DC2" s="1716"/>
      <c r="DD2" s="1716"/>
      <c r="DE2" s="1717"/>
      <c r="DF2" s="1724" t="s">
        <v>179</v>
      </c>
      <c r="DG2" s="1725"/>
      <c r="DH2" s="1725"/>
      <c r="DI2" s="1725"/>
      <c r="DJ2" s="1725"/>
      <c r="DK2" s="1726"/>
      <c r="DL2" s="1617" t="s">
        <v>194</v>
      </c>
      <c r="DM2" s="1709"/>
      <c r="DN2" s="1709"/>
      <c r="DO2" s="1709"/>
      <c r="DP2" s="1709"/>
      <c r="DQ2" s="1618"/>
      <c r="DR2" s="1617" t="s">
        <v>393</v>
      </c>
      <c r="DS2" s="1709"/>
      <c r="DT2" s="1709"/>
      <c r="DU2" s="1709"/>
      <c r="DV2" s="1709"/>
      <c r="DW2" s="1618"/>
      <c r="DX2" s="1617" t="s">
        <v>182</v>
      </c>
      <c r="DY2" s="1709"/>
      <c r="DZ2" s="1709"/>
      <c r="EA2" s="1709"/>
      <c r="EB2" s="1709"/>
      <c r="EC2" s="1618"/>
      <c r="ED2" s="1718" t="s">
        <v>183</v>
      </c>
      <c r="EE2" s="1719"/>
      <c r="EF2" s="1719"/>
      <c r="EG2" s="1719"/>
      <c r="EH2" s="1719"/>
      <c r="EI2" s="1720"/>
      <c r="EJ2" s="1721" t="s">
        <v>184</v>
      </c>
      <c r="EK2" s="1722"/>
      <c r="EL2" s="1722"/>
      <c r="EM2" s="1722"/>
      <c r="EN2" s="1722"/>
      <c r="EO2" s="1723"/>
      <c r="EP2" s="1721" t="s">
        <v>394</v>
      </c>
      <c r="EQ2" s="1722"/>
      <c r="ER2" s="1722"/>
      <c r="ES2" s="1722"/>
      <c r="ET2" s="1722"/>
      <c r="EU2" s="1723"/>
    </row>
    <row r="3" spans="1:151" s="583" customFormat="1" ht="16.5" customHeight="1" thickBot="1">
      <c r="A3" s="1704"/>
      <c r="B3" s="1707" t="s">
        <v>538</v>
      </c>
      <c r="C3" s="1707"/>
      <c r="D3" s="1707"/>
      <c r="E3" s="1706" t="s">
        <v>539</v>
      </c>
      <c r="F3" s="1707"/>
      <c r="G3" s="1708"/>
      <c r="H3" s="1707" t="s">
        <v>538</v>
      </c>
      <c r="I3" s="1707"/>
      <c r="J3" s="1707"/>
      <c r="K3" s="1706" t="s">
        <v>539</v>
      </c>
      <c r="L3" s="1707"/>
      <c r="M3" s="1708"/>
      <c r="N3" s="1707" t="s">
        <v>538</v>
      </c>
      <c r="O3" s="1707"/>
      <c r="P3" s="1708"/>
      <c r="Q3" s="1707" t="s">
        <v>539</v>
      </c>
      <c r="R3" s="1707"/>
      <c r="S3" s="1708"/>
      <c r="T3" s="1707" t="s">
        <v>538</v>
      </c>
      <c r="U3" s="1707"/>
      <c r="V3" s="1708"/>
      <c r="W3" s="1707" t="s">
        <v>539</v>
      </c>
      <c r="X3" s="1707"/>
      <c r="Y3" s="1707"/>
      <c r="Z3" s="1706" t="s">
        <v>538</v>
      </c>
      <c r="AA3" s="1707"/>
      <c r="AB3" s="1707"/>
      <c r="AC3" s="1706" t="s">
        <v>539</v>
      </c>
      <c r="AD3" s="1707"/>
      <c r="AE3" s="1708"/>
      <c r="AF3" s="1707" t="s">
        <v>538</v>
      </c>
      <c r="AG3" s="1707"/>
      <c r="AH3" s="1708"/>
      <c r="AI3" s="1707" t="s">
        <v>539</v>
      </c>
      <c r="AJ3" s="1707"/>
      <c r="AK3" s="1707"/>
      <c r="AL3" s="1706" t="s">
        <v>538</v>
      </c>
      <c r="AM3" s="1707"/>
      <c r="AN3" s="1708"/>
      <c r="AO3" s="1707" t="s">
        <v>539</v>
      </c>
      <c r="AP3" s="1707"/>
      <c r="AQ3" s="1707"/>
      <c r="AR3" s="1706" t="s">
        <v>538</v>
      </c>
      <c r="AS3" s="1707"/>
      <c r="AT3" s="1708"/>
      <c r="AU3" s="1706" t="s">
        <v>539</v>
      </c>
      <c r="AV3" s="1707"/>
      <c r="AW3" s="1708"/>
      <c r="AX3" s="1707" t="s">
        <v>538</v>
      </c>
      <c r="AY3" s="1707"/>
      <c r="AZ3" s="1708"/>
      <c r="BA3" s="1707" t="s">
        <v>539</v>
      </c>
      <c r="BB3" s="1707"/>
      <c r="BC3" s="1707"/>
      <c r="BD3" s="1706" t="s">
        <v>538</v>
      </c>
      <c r="BE3" s="1707"/>
      <c r="BF3" s="1708"/>
      <c r="BG3" s="1707" t="s">
        <v>539</v>
      </c>
      <c r="BH3" s="1707"/>
      <c r="BI3" s="1708"/>
      <c r="BJ3" s="1707" t="s">
        <v>538</v>
      </c>
      <c r="BK3" s="1707"/>
      <c r="BL3" s="1707"/>
      <c r="BM3" s="1706" t="s">
        <v>539</v>
      </c>
      <c r="BN3" s="1707"/>
      <c r="BO3" s="1708"/>
      <c r="BP3" s="1707" t="s">
        <v>538</v>
      </c>
      <c r="BQ3" s="1707"/>
      <c r="BR3" s="1707"/>
      <c r="BS3" s="1706" t="s">
        <v>539</v>
      </c>
      <c r="BT3" s="1707"/>
      <c r="BU3" s="1708"/>
      <c r="BV3" s="1707" t="s">
        <v>538</v>
      </c>
      <c r="BW3" s="1707"/>
      <c r="BX3" s="1708"/>
      <c r="BY3" s="1707" t="s">
        <v>539</v>
      </c>
      <c r="BZ3" s="1707"/>
      <c r="CA3" s="1708"/>
      <c r="CB3" s="1707" t="s">
        <v>538</v>
      </c>
      <c r="CC3" s="1707"/>
      <c r="CD3" s="1708"/>
      <c r="CE3" s="1707" t="s">
        <v>539</v>
      </c>
      <c r="CF3" s="1707"/>
      <c r="CG3" s="1708"/>
      <c r="CH3" s="1707" t="s">
        <v>538</v>
      </c>
      <c r="CI3" s="1707"/>
      <c r="CJ3" s="1708"/>
      <c r="CK3" s="1707" t="s">
        <v>539</v>
      </c>
      <c r="CL3" s="1707"/>
      <c r="CM3" s="1708"/>
      <c r="CN3" s="1707" t="s">
        <v>538</v>
      </c>
      <c r="CO3" s="1707"/>
      <c r="CP3" s="1708"/>
      <c r="CQ3" s="1707" t="s">
        <v>539</v>
      </c>
      <c r="CR3" s="1707"/>
      <c r="CS3" s="1708"/>
      <c r="CT3" s="1707" t="s">
        <v>538</v>
      </c>
      <c r="CU3" s="1707"/>
      <c r="CV3" s="1708"/>
      <c r="CW3" s="1707" t="s">
        <v>539</v>
      </c>
      <c r="CX3" s="1707"/>
      <c r="CY3" s="1708"/>
      <c r="CZ3" s="1707" t="s">
        <v>538</v>
      </c>
      <c r="DA3" s="1707"/>
      <c r="DB3" s="1708"/>
      <c r="DC3" s="1707" t="s">
        <v>539</v>
      </c>
      <c r="DD3" s="1707"/>
      <c r="DE3" s="1708"/>
      <c r="DF3" s="1707" t="s">
        <v>538</v>
      </c>
      <c r="DG3" s="1707"/>
      <c r="DH3" s="1708"/>
      <c r="DI3" s="1707" t="s">
        <v>539</v>
      </c>
      <c r="DJ3" s="1707"/>
      <c r="DK3" s="1708"/>
      <c r="DL3" s="1707" t="s">
        <v>538</v>
      </c>
      <c r="DM3" s="1707"/>
      <c r="DN3" s="1707"/>
      <c r="DO3" s="1706" t="s">
        <v>539</v>
      </c>
      <c r="DP3" s="1707"/>
      <c r="DQ3" s="1707"/>
      <c r="DR3" s="1706" t="s">
        <v>538</v>
      </c>
      <c r="DS3" s="1707"/>
      <c r="DT3" s="1707"/>
      <c r="DU3" s="1706" t="s">
        <v>539</v>
      </c>
      <c r="DV3" s="1707"/>
      <c r="DW3" s="1707"/>
      <c r="DX3" s="1706" t="s">
        <v>538</v>
      </c>
      <c r="DY3" s="1707"/>
      <c r="DZ3" s="1707"/>
      <c r="EA3" s="1706" t="s">
        <v>539</v>
      </c>
      <c r="EB3" s="1707"/>
      <c r="EC3" s="1707"/>
      <c r="ED3" s="1706" t="s">
        <v>538</v>
      </c>
      <c r="EE3" s="1707"/>
      <c r="EF3" s="1707"/>
      <c r="EG3" s="1706" t="s">
        <v>539</v>
      </c>
      <c r="EH3" s="1707"/>
      <c r="EI3" s="1707"/>
      <c r="EJ3" s="1706" t="s">
        <v>538</v>
      </c>
      <c r="EK3" s="1707"/>
      <c r="EL3" s="1707"/>
      <c r="EM3" s="1706" t="s">
        <v>539</v>
      </c>
      <c r="EN3" s="1707"/>
      <c r="EO3" s="1708"/>
      <c r="EP3" s="1706" t="s">
        <v>538</v>
      </c>
      <c r="EQ3" s="1707"/>
      <c r="ER3" s="1708"/>
      <c r="ES3" s="1707" t="s">
        <v>539</v>
      </c>
      <c r="ET3" s="1707"/>
      <c r="EU3" s="1708"/>
    </row>
    <row r="4" spans="1:151" s="583" customFormat="1" ht="44.25" customHeight="1" thickBot="1">
      <c r="A4" s="1705"/>
      <c r="B4" s="939" t="s">
        <v>395</v>
      </c>
      <c r="C4" s="939" t="s">
        <v>396</v>
      </c>
      <c r="D4" s="939" t="s">
        <v>397</v>
      </c>
      <c r="E4" s="1044" t="s">
        <v>395</v>
      </c>
      <c r="F4" s="940" t="s">
        <v>396</v>
      </c>
      <c r="G4" s="941" t="s">
        <v>398</v>
      </c>
      <c r="H4" s="940" t="s">
        <v>395</v>
      </c>
      <c r="I4" s="940" t="s">
        <v>396</v>
      </c>
      <c r="J4" s="940" t="s">
        <v>397</v>
      </c>
      <c r="K4" s="1044" t="s">
        <v>395</v>
      </c>
      <c r="L4" s="940" t="s">
        <v>396</v>
      </c>
      <c r="M4" s="941" t="s">
        <v>398</v>
      </c>
      <c r="N4" s="940" t="s">
        <v>395</v>
      </c>
      <c r="O4" s="940" t="s">
        <v>396</v>
      </c>
      <c r="P4" s="941" t="s">
        <v>398</v>
      </c>
      <c r="Q4" s="940" t="s">
        <v>395</v>
      </c>
      <c r="R4" s="940" t="s">
        <v>396</v>
      </c>
      <c r="S4" s="941" t="s">
        <v>398</v>
      </c>
      <c r="T4" s="937" t="s">
        <v>395</v>
      </c>
      <c r="U4" s="942" t="s">
        <v>396</v>
      </c>
      <c r="V4" s="938" t="s">
        <v>398</v>
      </c>
      <c r="W4" s="937" t="s">
        <v>395</v>
      </c>
      <c r="X4" s="942" t="s">
        <v>396</v>
      </c>
      <c r="Y4" s="942" t="s">
        <v>398</v>
      </c>
      <c r="Z4" s="937" t="s">
        <v>395</v>
      </c>
      <c r="AA4" s="942" t="s">
        <v>396</v>
      </c>
      <c r="AB4" s="942" t="s">
        <v>398</v>
      </c>
      <c r="AC4" s="937" t="s">
        <v>395</v>
      </c>
      <c r="AD4" s="942" t="s">
        <v>396</v>
      </c>
      <c r="AE4" s="938" t="s">
        <v>398</v>
      </c>
      <c r="AF4" s="942" t="s">
        <v>395</v>
      </c>
      <c r="AG4" s="942" t="s">
        <v>396</v>
      </c>
      <c r="AH4" s="938" t="s">
        <v>398</v>
      </c>
      <c r="AI4" s="942" t="s">
        <v>395</v>
      </c>
      <c r="AJ4" s="942" t="s">
        <v>396</v>
      </c>
      <c r="AK4" s="942" t="s">
        <v>398</v>
      </c>
      <c r="AL4" s="946" t="s">
        <v>395</v>
      </c>
      <c r="AM4" s="947" t="s">
        <v>396</v>
      </c>
      <c r="AN4" s="948" t="s">
        <v>398</v>
      </c>
      <c r="AO4" s="947" t="s">
        <v>395</v>
      </c>
      <c r="AP4" s="947" t="s">
        <v>396</v>
      </c>
      <c r="AQ4" s="947" t="s">
        <v>398</v>
      </c>
      <c r="AR4" s="937" t="s">
        <v>395</v>
      </c>
      <c r="AS4" s="942" t="s">
        <v>396</v>
      </c>
      <c r="AT4" s="938" t="s">
        <v>398</v>
      </c>
      <c r="AU4" s="937" t="s">
        <v>395</v>
      </c>
      <c r="AV4" s="942" t="s">
        <v>396</v>
      </c>
      <c r="AW4" s="938" t="s">
        <v>398</v>
      </c>
      <c r="AX4" s="942" t="s">
        <v>395</v>
      </c>
      <c r="AY4" s="942" t="s">
        <v>396</v>
      </c>
      <c r="AZ4" s="938" t="s">
        <v>398</v>
      </c>
      <c r="BA4" s="937" t="s">
        <v>395</v>
      </c>
      <c r="BB4" s="942" t="s">
        <v>396</v>
      </c>
      <c r="BC4" s="942" t="s">
        <v>398</v>
      </c>
      <c r="BD4" s="937" t="s">
        <v>395</v>
      </c>
      <c r="BE4" s="942" t="s">
        <v>396</v>
      </c>
      <c r="BF4" s="938" t="s">
        <v>398</v>
      </c>
      <c r="BG4" s="937" t="s">
        <v>395</v>
      </c>
      <c r="BH4" s="942" t="s">
        <v>396</v>
      </c>
      <c r="BI4" s="938" t="s">
        <v>398</v>
      </c>
      <c r="BJ4" s="942" t="s">
        <v>395</v>
      </c>
      <c r="BK4" s="942" t="s">
        <v>396</v>
      </c>
      <c r="BL4" s="942" t="s">
        <v>398</v>
      </c>
      <c r="BM4" s="937" t="s">
        <v>395</v>
      </c>
      <c r="BN4" s="942" t="s">
        <v>396</v>
      </c>
      <c r="BO4" s="938" t="s">
        <v>398</v>
      </c>
      <c r="BP4" s="942" t="s">
        <v>395</v>
      </c>
      <c r="BQ4" s="942" t="s">
        <v>396</v>
      </c>
      <c r="BR4" s="942" t="s">
        <v>398</v>
      </c>
      <c r="BS4" s="937" t="s">
        <v>395</v>
      </c>
      <c r="BT4" s="942" t="s">
        <v>396</v>
      </c>
      <c r="BU4" s="938" t="s">
        <v>398</v>
      </c>
      <c r="BV4" s="942" t="s">
        <v>395</v>
      </c>
      <c r="BW4" s="942" t="s">
        <v>396</v>
      </c>
      <c r="BX4" s="938" t="s">
        <v>398</v>
      </c>
      <c r="BY4" s="942" t="s">
        <v>395</v>
      </c>
      <c r="BZ4" s="942" t="s">
        <v>396</v>
      </c>
      <c r="CA4" s="938" t="s">
        <v>398</v>
      </c>
      <c r="CB4" s="937" t="s">
        <v>395</v>
      </c>
      <c r="CC4" s="1061" t="s">
        <v>396</v>
      </c>
      <c r="CD4" s="938" t="s">
        <v>398</v>
      </c>
      <c r="CE4" s="937" t="s">
        <v>395</v>
      </c>
      <c r="CF4" s="1061" t="s">
        <v>396</v>
      </c>
      <c r="CG4" s="938" t="s">
        <v>398</v>
      </c>
      <c r="CH4" s="937" t="s">
        <v>395</v>
      </c>
      <c r="CI4" s="942" t="s">
        <v>396</v>
      </c>
      <c r="CJ4" s="938" t="s">
        <v>398</v>
      </c>
      <c r="CK4" s="937" t="s">
        <v>395</v>
      </c>
      <c r="CL4" s="942" t="s">
        <v>396</v>
      </c>
      <c r="CM4" s="938" t="s">
        <v>398</v>
      </c>
      <c r="CN4" s="946" t="s">
        <v>395</v>
      </c>
      <c r="CO4" s="947" t="s">
        <v>396</v>
      </c>
      <c r="CP4" s="948" t="s">
        <v>398</v>
      </c>
      <c r="CQ4" s="946" t="s">
        <v>395</v>
      </c>
      <c r="CR4" s="947" t="s">
        <v>396</v>
      </c>
      <c r="CS4" s="948" t="s">
        <v>398</v>
      </c>
      <c r="CT4" s="937" t="s">
        <v>395</v>
      </c>
      <c r="CU4" s="942" t="s">
        <v>396</v>
      </c>
      <c r="CV4" s="938" t="s">
        <v>398</v>
      </c>
      <c r="CW4" s="937" t="s">
        <v>395</v>
      </c>
      <c r="CX4" s="942" t="s">
        <v>396</v>
      </c>
      <c r="CY4" s="938" t="s">
        <v>398</v>
      </c>
      <c r="CZ4" s="946" t="s">
        <v>395</v>
      </c>
      <c r="DA4" s="947" t="s">
        <v>396</v>
      </c>
      <c r="DB4" s="948" t="s">
        <v>398</v>
      </c>
      <c r="DC4" s="943" t="s">
        <v>395</v>
      </c>
      <c r="DD4" s="944" t="s">
        <v>396</v>
      </c>
      <c r="DE4" s="945" t="s">
        <v>398</v>
      </c>
      <c r="DF4" s="942" t="s">
        <v>395</v>
      </c>
      <c r="DG4" s="942" t="s">
        <v>396</v>
      </c>
      <c r="DH4" s="938" t="s">
        <v>398</v>
      </c>
      <c r="DI4" s="942" t="s">
        <v>395</v>
      </c>
      <c r="DJ4" s="942" t="s">
        <v>396</v>
      </c>
      <c r="DK4" s="942" t="s">
        <v>398</v>
      </c>
      <c r="DL4" s="1092" t="s">
        <v>395</v>
      </c>
      <c r="DM4" s="1061" t="s">
        <v>396</v>
      </c>
      <c r="DN4" s="1334" t="s">
        <v>398</v>
      </c>
      <c r="DO4" s="1092" t="s">
        <v>395</v>
      </c>
      <c r="DP4" s="1061" t="s">
        <v>396</v>
      </c>
      <c r="DQ4" s="1334" t="s">
        <v>398</v>
      </c>
      <c r="DR4" s="937" t="s">
        <v>395</v>
      </c>
      <c r="DS4" s="942" t="s">
        <v>396</v>
      </c>
      <c r="DT4" s="942" t="s">
        <v>398</v>
      </c>
      <c r="DU4" s="937" t="s">
        <v>395</v>
      </c>
      <c r="DV4" s="942" t="s">
        <v>396</v>
      </c>
      <c r="DW4" s="942" t="s">
        <v>398</v>
      </c>
      <c r="DX4" s="946" t="s">
        <v>395</v>
      </c>
      <c r="DY4" s="947" t="s">
        <v>396</v>
      </c>
      <c r="DZ4" s="947" t="s">
        <v>398</v>
      </c>
      <c r="EA4" s="946" t="s">
        <v>395</v>
      </c>
      <c r="EB4" s="947" t="s">
        <v>396</v>
      </c>
      <c r="EC4" s="947" t="s">
        <v>398</v>
      </c>
      <c r="ED4" s="937" t="s">
        <v>395</v>
      </c>
      <c r="EE4" s="942" t="s">
        <v>396</v>
      </c>
      <c r="EF4" s="942" t="s">
        <v>398</v>
      </c>
      <c r="EG4" s="937" t="s">
        <v>395</v>
      </c>
      <c r="EH4" s="942" t="s">
        <v>396</v>
      </c>
      <c r="EI4" s="942" t="s">
        <v>398</v>
      </c>
      <c r="EJ4" s="937" t="s">
        <v>395</v>
      </c>
      <c r="EK4" s="942" t="s">
        <v>396</v>
      </c>
      <c r="EL4" s="942" t="s">
        <v>398</v>
      </c>
      <c r="EM4" s="937" t="s">
        <v>395</v>
      </c>
      <c r="EN4" s="942" t="s">
        <v>396</v>
      </c>
      <c r="EO4" s="938" t="s">
        <v>398</v>
      </c>
      <c r="EP4" s="949" t="s">
        <v>395</v>
      </c>
      <c r="EQ4" s="950" t="s">
        <v>396</v>
      </c>
      <c r="ER4" s="938" t="s">
        <v>398</v>
      </c>
      <c r="ES4" s="942" t="s">
        <v>395</v>
      </c>
      <c r="ET4" s="942" t="s">
        <v>396</v>
      </c>
      <c r="EU4" s="938" t="s">
        <v>398</v>
      </c>
    </row>
    <row r="5" spans="1:154" s="777" customFormat="1" ht="16.5">
      <c r="A5" s="1599" t="s">
        <v>536</v>
      </c>
      <c r="B5" s="1357">
        <v>63677</v>
      </c>
      <c r="C5" s="1358">
        <v>66235</v>
      </c>
      <c r="D5" s="1359">
        <v>290.54</v>
      </c>
      <c r="E5" s="1360">
        <v>193879</v>
      </c>
      <c r="F5" s="1358">
        <v>201307</v>
      </c>
      <c r="G5" s="1361">
        <v>1786.03</v>
      </c>
      <c r="H5" s="1368">
        <v>4617</v>
      </c>
      <c r="I5" s="1369">
        <v>4593</v>
      </c>
      <c r="J5" s="1364">
        <v>0.27</v>
      </c>
      <c r="K5" s="1367">
        <v>14558</v>
      </c>
      <c r="L5" s="1369">
        <v>11718</v>
      </c>
      <c r="M5" s="1366">
        <v>34.85</v>
      </c>
      <c r="N5" s="1368">
        <v>4689</v>
      </c>
      <c r="O5" s="1368">
        <v>4626</v>
      </c>
      <c r="P5" s="1366">
        <v>1542.51</v>
      </c>
      <c r="Q5" s="1368">
        <v>17212</v>
      </c>
      <c r="R5" s="1369">
        <v>16589</v>
      </c>
      <c r="S5" s="1366">
        <v>14550.52</v>
      </c>
      <c r="T5" s="1367">
        <v>123589</v>
      </c>
      <c r="U5" s="1368">
        <v>116226</v>
      </c>
      <c r="V5" s="1366">
        <v>528</v>
      </c>
      <c r="W5" s="1367">
        <v>303414</v>
      </c>
      <c r="X5" s="1363">
        <v>270253</v>
      </c>
      <c r="Y5" s="1364">
        <v>2002</v>
      </c>
      <c r="Z5" s="1367">
        <v>32140</v>
      </c>
      <c r="AA5" s="1368">
        <v>32194</v>
      </c>
      <c r="AB5" s="1364">
        <v>113.65</v>
      </c>
      <c r="AC5" s="1367">
        <v>84691</v>
      </c>
      <c r="AD5" s="1369">
        <v>84772</v>
      </c>
      <c r="AE5" s="1366">
        <v>533.21</v>
      </c>
      <c r="AF5" s="1368">
        <v>59244</v>
      </c>
      <c r="AG5" s="1369">
        <v>57978</v>
      </c>
      <c r="AH5" s="1366">
        <v>274.92</v>
      </c>
      <c r="AI5" s="1368">
        <v>120468</v>
      </c>
      <c r="AJ5" s="1369">
        <v>116804</v>
      </c>
      <c r="AK5" s="1364">
        <v>1153.14</v>
      </c>
      <c r="AL5" s="1360">
        <v>12028</v>
      </c>
      <c r="AM5" s="1358">
        <v>11887</v>
      </c>
      <c r="AN5" s="1361">
        <v>44.94</v>
      </c>
      <c r="AO5" s="1357">
        <v>18617</v>
      </c>
      <c r="AP5" s="1358">
        <v>19349</v>
      </c>
      <c r="AQ5" s="1359">
        <v>69.59</v>
      </c>
      <c r="AR5" s="1367">
        <v>18854</v>
      </c>
      <c r="AS5" s="1369">
        <v>18218</v>
      </c>
      <c r="AT5" s="1366">
        <v>52</v>
      </c>
      <c r="AU5" s="1367">
        <v>61277</v>
      </c>
      <c r="AV5" s="1369">
        <v>56894</v>
      </c>
      <c r="AW5" s="1366">
        <v>358</v>
      </c>
      <c r="AX5" s="1368">
        <v>38593</v>
      </c>
      <c r="AY5" s="1369">
        <v>37934</v>
      </c>
      <c r="AZ5" s="1366">
        <v>117.38</v>
      </c>
      <c r="BA5" s="1367">
        <v>110050</v>
      </c>
      <c r="BB5" s="1369">
        <v>105972</v>
      </c>
      <c r="BC5" s="1364">
        <v>557.43</v>
      </c>
      <c r="BD5" s="1367">
        <v>12485</v>
      </c>
      <c r="BE5" s="1369">
        <v>12103</v>
      </c>
      <c r="BF5" s="1366">
        <v>52.54</v>
      </c>
      <c r="BG5" s="1367">
        <v>40764</v>
      </c>
      <c r="BH5" s="1369">
        <v>38155</v>
      </c>
      <c r="BI5" s="1366">
        <v>303.37</v>
      </c>
      <c r="BJ5" s="1394">
        <v>213102</v>
      </c>
      <c r="BK5" s="1368">
        <v>214810</v>
      </c>
      <c r="BL5" s="1364">
        <v>1170.1</v>
      </c>
      <c r="BM5" s="1367">
        <v>768905</v>
      </c>
      <c r="BN5" s="1369">
        <v>777878</v>
      </c>
      <c r="BO5" s="1366">
        <v>8905.05</v>
      </c>
      <c r="BP5" s="1368">
        <v>137144</v>
      </c>
      <c r="BQ5" s="1369">
        <v>131797</v>
      </c>
      <c r="BR5" s="1370">
        <v>843</v>
      </c>
      <c r="BS5" s="1367">
        <v>524367</v>
      </c>
      <c r="BT5" s="1369">
        <v>497537</v>
      </c>
      <c r="BU5" s="1371">
        <v>7004</v>
      </c>
      <c r="BV5" s="1368">
        <v>11537</v>
      </c>
      <c r="BW5" s="1369">
        <v>10288</v>
      </c>
      <c r="BX5" s="1366">
        <v>144.37</v>
      </c>
      <c r="BY5" s="1368">
        <v>30333</v>
      </c>
      <c r="BZ5" s="1369">
        <v>26341</v>
      </c>
      <c r="CA5" s="1366">
        <v>360.05</v>
      </c>
      <c r="CB5" s="1365"/>
      <c r="CC5" s="1363"/>
      <c r="CD5" s="1366"/>
      <c r="CE5" s="1365"/>
      <c r="CF5" s="1363"/>
      <c r="CG5" s="1371"/>
      <c r="CH5" s="1367">
        <v>77394</v>
      </c>
      <c r="CI5" s="1369">
        <v>75875</v>
      </c>
      <c r="CJ5" s="1366">
        <v>248.69</v>
      </c>
      <c r="CK5" s="1367">
        <v>262925</v>
      </c>
      <c r="CL5" s="1369">
        <v>246324</v>
      </c>
      <c r="CM5" s="1364">
        <v>2695.91</v>
      </c>
      <c r="CN5" s="1046">
        <v>153529</v>
      </c>
      <c r="CO5" s="1047">
        <v>146447</v>
      </c>
      <c r="CP5" s="299">
        <v>1183.35</v>
      </c>
      <c r="CQ5" s="1048">
        <v>491098</v>
      </c>
      <c r="CR5" s="1047">
        <v>463185</v>
      </c>
      <c r="CS5" s="299">
        <v>5044.29</v>
      </c>
      <c r="CT5" s="1362"/>
      <c r="CU5" s="1363"/>
      <c r="CV5" s="1366"/>
      <c r="CW5" s="1365"/>
      <c r="CX5" s="1363"/>
      <c r="CY5" s="1364"/>
      <c r="CZ5" s="1049">
        <v>62154</v>
      </c>
      <c r="DA5" s="1050">
        <v>58152</v>
      </c>
      <c r="DB5" s="1045">
        <v>252.32</v>
      </c>
      <c r="DC5" s="1051">
        <v>129270</v>
      </c>
      <c r="DD5" s="1050">
        <v>119015</v>
      </c>
      <c r="DE5" s="1045">
        <v>704.2</v>
      </c>
      <c r="DF5" s="1362"/>
      <c r="DG5" s="1363"/>
      <c r="DH5" s="1366"/>
      <c r="DI5" s="1362"/>
      <c r="DJ5" s="1363"/>
      <c r="DK5" s="1366"/>
      <c r="DL5" s="1372">
        <v>440907</v>
      </c>
      <c r="DM5" s="1373">
        <v>440907</v>
      </c>
      <c r="DN5" s="1374">
        <v>2319</v>
      </c>
      <c r="DO5" s="1375">
        <v>1215470</v>
      </c>
      <c r="DP5" s="1373">
        <v>1215470</v>
      </c>
      <c r="DQ5" s="1374">
        <v>10179</v>
      </c>
      <c r="DR5" s="1376">
        <v>131550</v>
      </c>
      <c r="DS5" s="1372">
        <v>127546</v>
      </c>
      <c r="DT5" s="1377">
        <v>5389.07</v>
      </c>
      <c r="DU5" s="1376">
        <v>163421</v>
      </c>
      <c r="DV5" s="1372">
        <v>158184</v>
      </c>
      <c r="DW5" s="1377">
        <v>7191.68</v>
      </c>
      <c r="DX5" s="1378">
        <v>35851</v>
      </c>
      <c r="DY5" s="1379">
        <v>35851</v>
      </c>
      <c r="DZ5" s="1380">
        <v>250.12</v>
      </c>
      <c r="EA5" s="1381">
        <v>63696</v>
      </c>
      <c r="EB5" s="1382">
        <v>63696</v>
      </c>
      <c r="EC5" s="1383">
        <v>632.12</v>
      </c>
      <c r="ED5" s="1384">
        <v>105773</v>
      </c>
      <c r="EE5" s="1385">
        <v>98304</v>
      </c>
      <c r="EF5" s="1386">
        <v>428.81</v>
      </c>
      <c r="EG5" s="1384">
        <v>354497</v>
      </c>
      <c r="EH5" s="1385">
        <v>337610</v>
      </c>
      <c r="EI5" s="1386">
        <v>3524.95</v>
      </c>
      <c r="EJ5" s="1367">
        <v>4500369</v>
      </c>
      <c r="EK5" s="1369">
        <v>4060118</v>
      </c>
      <c r="EL5" s="1364">
        <v>6110.71</v>
      </c>
      <c r="EM5" s="1367">
        <v>16475070</v>
      </c>
      <c r="EN5" s="1369">
        <v>14479721</v>
      </c>
      <c r="EO5" s="1366">
        <v>50295.798</v>
      </c>
      <c r="EP5" s="951">
        <f aca="true" t="shared" si="0" ref="EP5:EU7">SUM(B5+H5+N5+T5+Z5+AF5+AL5+AR5+AX5+BD5+BJ5+BP5+BV5+CB5+CH5+CN5+CT5+CZ5+DF5+DL5+DR5+DX5+ED5+EJ5)</f>
        <v>6239226</v>
      </c>
      <c r="EQ5" s="951">
        <f t="shared" si="0"/>
        <v>5762089</v>
      </c>
      <c r="ER5" s="951">
        <f t="shared" si="0"/>
        <v>21356.29</v>
      </c>
      <c r="ES5" s="951">
        <f t="shared" si="0"/>
        <v>21443982</v>
      </c>
      <c r="ET5" s="951">
        <f t="shared" si="0"/>
        <v>19306774</v>
      </c>
      <c r="EU5" s="1330">
        <f t="shared" si="0"/>
        <v>117885.18800000002</v>
      </c>
      <c r="EX5" s="952"/>
    </row>
    <row r="6" spans="1:151" ht="17.25" thickBot="1">
      <c r="A6" s="1600" t="s">
        <v>537</v>
      </c>
      <c r="B6" s="1338">
        <v>0</v>
      </c>
      <c r="C6" s="1337">
        <v>0</v>
      </c>
      <c r="D6" s="263">
        <v>0</v>
      </c>
      <c r="E6" s="1257">
        <v>513</v>
      </c>
      <c r="F6" s="1337">
        <v>1717908</v>
      </c>
      <c r="G6" s="1324">
        <v>2487.7</v>
      </c>
      <c r="H6" s="1326"/>
      <c r="I6" s="671"/>
      <c r="J6" s="662"/>
      <c r="K6" s="1336">
        <v>96</v>
      </c>
      <c r="L6" s="671">
        <v>152630</v>
      </c>
      <c r="M6" s="1353">
        <v>26.66</v>
      </c>
      <c r="N6" s="1326"/>
      <c r="O6" s="1326"/>
      <c r="P6" s="268"/>
      <c r="Q6" s="1326">
        <v>138</v>
      </c>
      <c r="R6" s="671">
        <v>490091</v>
      </c>
      <c r="S6" s="268">
        <v>5918</v>
      </c>
      <c r="T6" s="1336">
        <v>0</v>
      </c>
      <c r="U6" s="1326">
        <v>0</v>
      </c>
      <c r="V6" s="268">
        <v>0</v>
      </c>
      <c r="W6" s="1336">
        <v>238</v>
      </c>
      <c r="X6" s="671">
        <v>23160619</v>
      </c>
      <c r="Y6" s="662">
        <v>3783</v>
      </c>
      <c r="Z6" s="1336"/>
      <c r="AA6" s="1326"/>
      <c r="AB6" s="662"/>
      <c r="AC6" s="1336">
        <v>22</v>
      </c>
      <c r="AD6" s="671">
        <v>1923878</v>
      </c>
      <c r="AE6" s="268">
        <v>136.45</v>
      </c>
      <c r="AF6" s="1326">
        <v>0</v>
      </c>
      <c r="AG6" s="1354">
        <v>0</v>
      </c>
      <c r="AH6" s="1355">
        <v>0</v>
      </c>
      <c r="AI6" s="1326">
        <v>103</v>
      </c>
      <c r="AJ6" s="671">
        <v>4899511</v>
      </c>
      <c r="AK6" s="662">
        <v>873.19</v>
      </c>
      <c r="AL6" s="1336">
        <v>99</v>
      </c>
      <c r="AM6" s="671">
        <v>2184666</v>
      </c>
      <c r="AN6" s="268">
        <v>12.41</v>
      </c>
      <c r="AO6" s="1326">
        <v>108</v>
      </c>
      <c r="AP6" s="671">
        <v>115021</v>
      </c>
      <c r="AQ6" s="263">
        <v>101.55</v>
      </c>
      <c r="AR6" s="1336"/>
      <c r="AS6" s="671">
        <v>156757</v>
      </c>
      <c r="AT6" s="268">
        <v>5.89</v>
      </c>
      <c r="AU6" s="1336">
        <v>29</v>
      </c>
      <c r="AV6" s="671">
        <v>116109</v>
      </c>
      <c r="AW6" s="268">
        <v>38.9</v>
      </c>
      <c r="AX6" s="1326">
        <v>0</v>
      </c>
      <c r="AY6" s="671">
        <v>0</v>
      </c>
      <c r="AZ6" s="268">
        <v>0</v>
      </c>
      <c r="BA6" s="1336">
        <v>27</v>
      </c>
      <c r="BB6" s="671">
        <v>1542249</v>
      </c>
      <c r="BC6" s="662">
        <v>106.24</v>
      </c>
      <c r="BD6" s="1336"/>
      <c r="BE6" s="671"/>
      <c r="BF6" s="268"/>
      <c r="BG6" s="1336">
        <v>35</v>
      </c>
      <c r="BH6" s="671">
        <v>114438</v>
      </c>
      <c r="BI6" s="268">
        <v>166.96</v>
      </c>
      <c r="BJ6" s="1395">
        <v>0</v>
      </c>
      <c r="BK6" s="1326">
        <v>0</v>
      </c>
      <c r="BL6" s="1067">
        <v>0</v>
      </c>
      <c r="BM6" s="1336">
        <v>256</v>
      </c>
      <c r="BN6" s="671">
        <v>38785090</v>
      </c>
      <c r="BO6" s="268">
        <v>10117.33</v>
      </c>
      <c r="BP6" s="1326">
        <v>0</v>
      </c>
      <c r="BQ6" s="671">
        <v>0</v>
      </c>
      <c r="BR6" s="662">
        <v>0</v>
      </c>
      <c r="BS6" s="1336">
        <v>4562</v>
      </c>
      <c r="BT6" s="671">
        <v>25688985</v>
      </c>
      <c r="BU6" s="268">
        <v>5380</v>
      </c>
      <c r="BV6" s="1347"/>
      <c r="BW6" s="1348"/>
      <c r="BX6" s="1327"/>
      <c r="BY6" s="1347">
        <v>5</v>
      </c>
      <c r="BZ6" s="1348">
        <v>23454</v>
      </c>
      <c r="CA6" s="1353">
        <v>127.32</v>
      </c>
      <c r="CB6" s="264">
        <v>0</v>
      </c>
      <c r="CC6" s="267">
        <v>0</v>
      </c>
      <c r="CD6" s="268">
        <v>0</v>
      </c>
      <c r="CE6" s="264"/>
      <c r="CF6" s="267"/>
      <c r="CG6" s="268"/>
      <c r="CH6" s="1336"/>
      <c r="CI6" s="671"/>
      <c r="CJ6" s="268"/>
      <c r="CK6" s="1336">
        <v>956</v>
      </c>
      <c r="CL6" s="671">
        <v>15693927</v>
      </c>
      <c r="CM6" s="662">
        <v>2311.91</v>
      </c>
      <c r="CN6" s="1336">
        <v>0</v>
      </c>
      <c r="CO6" s="671">
        <v>0</v>
      </c>
      <c r="CP6" s="268">
        <v>0</v>
      </c>
      <c r="CQ6" s="1326">
        <v>409</v>
      </c>
      <c r="CR6" s="671">
        <v>4236524</v>
      </c>
      <c r="CS6" s="268">
        <v>598.58</v>
      </c>
      <c r="CT6" s="1325"/>
      <c r="CU6" s="267"/>
      <c r="CV6" s="268"/>
      <c r="CW6" s="264"/>
      <c r="CX6" s="267"/>
      <c r="CY6" s="662"/>
      <c r="CZ6" s="1336">
        <v>0</v>
      </c>
      <c r="DA6" s="671">
        <v>0</v>
      </c>
      <c r="DB6" s="268">
        <v>0</v>
      </c>
      <c r="DC6" s="1326">
        <v>100</v>
      </c>
      <c r="DD6" s="671">
        <v>171077</v>
      </c>
      <c r="DE6" s="268">
        <v>178.46</v>
      </c>
      <c r="DF6" s="1328"/>
      <c r="DG6" s="267"/>
      <c r="DH6" s="268"/>
      <c r="DI6" s="1325"/>
      <c r="DJ6" s="267"/>
      <c r="DK6" s="268"/>
      <c r="DL6" s="1336"/>
      <c r="DM6" s="1326"/>
      <c r="DN6" s="662"/>
      <c r="DO6" s="1349">
        <v>514</v>
      </c>
      <c r="DP6" s="1350">
        <v>10656702</v>
      </c>
      <c r="DQ6" s="1335">
        <v>8125</v>
      </c>
      <c r="DR6" s="1351">
        <v>13</v>
      </c>
      <c r="DS6" s="676">
        <v>3237341</v>
      </c>
      <c r="DT6" s="1333">
        <v>119.71</v>
      </c>
      <c r="DU6" s="1351">
        <v>134</v>
      </c>
      <c r="DV6" s="676">
        <v>2643564</v>
      </c>
      <c r="DW6" s="1333">
        <v>197.78</v>
      </c>
      <c r="DX6" s="1352">
        <v>0</v>
      </c>
      <c r="DY6" s="678">
        <v>0</v>
      </c>
      <c r="DZ6" s="1332">
        <v>0</v>
      </c>
      <c r="EA6" s="1352">
        <v>20</v>
      </c>
      <c r="EB6" s="678">
        <v>4601914</v>
      </c>
      <c r="EC6" s="1332">
        <v>281.67</v>
      </c>
      <c r="ED6" s="1336">
        <v>0</v>
      </c>
      <c r="EE6" s="671">
        <v>0</v>
      </c>
      <c r="EF6" s="662">
        <v>0</v>
      </c>
      <c r="EG6" s="1336">
        <v>337</v>
      </c>
      <c r="EH6" s="671">
        <v>616359</v>
      </c>
      <c r="EI6" s="1356">
        <v>189.97</v>
      </c>
      <c r="EJ6" s="1352"/>
      <c r="EK6" s="678"/>
      <c r="EL6" s="1332"/>
      <c r="EM6" s="1352"/>
      <c r="EN6" s="678"/>
      <c r="EO6" s="1329"/>
      <c r="EP6" s="1258">
        <f t="shared" si="0"/>
        <v>112</v>
      </c>
      <c r="EQ6" s="1258">
        <f t="shared" si="0"/>
        <v>5578764</v>
      </c>
      <c r="ER6" s="1258">
        <f t="shared" si="0"/>
        <v>138.01</v>
      </c>
      <c r="ES6" s="1258">
        <f t="shared" si="0"/>
        <v>8602</v>
      </c>
      <c r="ET6" s="1258">
        <f t="shared" si="0"/>
        <v>137350050</v>
      </c>
      <c r="EU6" s="1331">
        <f t="shared" si="0"/>
        <v>41146.67</v>
      </c>
    </row>
    <row r="7" spans="1:151" s="1346" customFormat="1" ht="14.25" thickBot="1">
      <c r="A7" s="1339" t="s">
        <v>54</v>
      </c>
      <c r="B7" s="1340">
        <f aca="true" t="shared" si="1" ref="B7:AG7">SUM(B5:B6)</f>
        <v>63677</v>
      </c>
      <c r="C7" s="1340">
        <f t="shared" si="1"/>
        <v>66235</v>
      </c>
      <c r="D7" s="1341">
        <f t="shared" si="1"/>
        <v>290.54</v>
      </c>
      <c r="E7" s="1342">
        <f t="shared" si="1"/>
        <v>194392</v>
      </c>
      <c r="F7" s="1340">
        <f t="shared" si="1"/>
        <v>1919215</v>
      </c>
      <c r="G7" s="1343">
        <f t="shared" si="1"/>
        <v>4273.73</v>
      </c>
      <c r="H7" s="1340">
        <f t="shared" si="1"/>
        <v>4617</v>
      </c>
      <c r="I7" s="1340">
        <f t="shared" si="1"/>
        <v>4593</v>
      </c>
      <c r="J7" s="1341">
        <f t="shared" si="1"/>
        <v>0.27</v>
      </c>
      <c r="K7" s="1342">
        <f t="shared" si="1"/>
        <v>14654</v>
      </c>
      <c r="L7" s="1340">
        <f t="shared" si="1"/>
        <v>164348</v>
      </c>
      <c r="M7" s="1343">
        <f t="shared" si="1"/>
        <v>61.510000000000005</v>
      </c>
      <c r="N7" s="1340">
        <f t="shared" si="1"/>
        <v>4689</v>
      </c>
      <c r="O7" s="1340">
        <f t="shared" si="1"/>
        <v>4626</v>
      </c>
      <c r="P7" s="1344">
        <f t="shared" si="1"/>
        <v>1542.51</v>
      </c>
      <c r="Q7" s="1340">
        <f t="shared" si="1"/>
        <v>17350</v>
      </c>
      <c r="R7" s="1340">
        <f t="shared" si="1"/>
        <v>506680</v>
      </c>
      <c r="S7" s="1344">
        <f t="shared" si="1"/>
        <v>20468.52</v>
      </c>
      <c r="T7" s="1340">
        <f t="shared" si="1"/>
        <v>123589</v>
      </c>
      <c r="U7" s="1340">
        <f t="shared" si="1"/>
        <v>116226</v>
      </c>
      <c r="V7" s="1344">
        <f t="shared" si="1"/>
        <v>528</v>
      </c>
      <c r="W7" s="1340">
        <f t="shared" si="1"/>
        <v>303652</v>
      </c>
      <c r="X7" s="1340">
        <f t="shared" si="1"/>
        <v>23430872</v>
      </c>
      <c r="Y7" s="1341">
        <f t="shared" si="1"/>
        <v>5785</v>
      </c>
      <c r="Z7" s="1342">
        <f t="shared" si="1"/>
        <v>32140</v>
      </c>
      <c r="AA7" s="1340">
        <f t="shared" si="1"/>
        <v>32194</v>
      </c>
      <c r="AB7" s="1341">
        <f t="shared" si="1"/>
        <v>113.65</v>
      </c>
      <c r="AC7" s="1342">
        <f t="shared" si="1"/>
        <v>84713</v>
      </c>
      <c r="AD7" s="1340">
        <f t="shared" si="1"/>
        <v>2008650</v>
      </c>
      <c r="AE7" s="1343">
        <f t="shared" si="1"/>
        <v>669.6600000000001</v>
      </c>
      <c r="AF7" s="1340">
        <f t="shared" si="1"/>
        <v>59244</v>
      </c>
      <c r="AG7" s="1340">
        <f t="shared" si="1"/>
        <v>57978</v>
      </c>
      <c r="AH7" s="1344">
        <f aca="true" t="shared" si="2" ref="AH7:BM7">SUM(AH5:AH6)</f>
        <v>274.92</v>
      </c>
      <c r="AI7" s="1340">
        <f t="shared" si="2"/>
        <v>120571</v>
      </c>
      <c r="AJ7" s="1340">
        <f t="shared" si="2"/>
        <v>5016315</v>
      </c>
      <c r="AK7" s="1341">
        <f t="shared" si="2"/>
        <v>2026.3300000000002</v>
      </c>
      <c r="AL7" s="1342">
        <f t="shared" si="2"/>
        <v>12127</v>
      </c>
      <c r="AM7" s="1340">
        <f t="shared" si="2"/>
        <v>2196553</v>
      </c>
      <c r="AN7" s="1343">
        <f t="shared" si="2"/>
        <v>57.349999999999994</v>
      </c>
      <c r="AO7" s="1340">
        <f t="shared" si="2"/>
        <v>18725</v>
      </c>
      <c r="AP7" s="1340">
        <f t="shared" si="2"/>
        <v>134370</v>
      </c>
      <c r="AQ7" s="1341">
        <f t="shared" si="2"/>
        <v>171.14</v>
      </c>
      <c r="AR7" s="1342">
        <f t="shared" si="2"/>
        <v>18854</v>
      </c>
      <c r="AS7" s="1340">
        <f t="shared" si="2"/>
        <v>174975</v>
      </c>
      <c r="AT7" s="1343">
        <f t="shared" si="2"/>
        <v>57.89</v>
      </c>
      <c r="AU7" s="1342">
        <f t="shared" si="2"/>
        <v>61306</v>
      </c>
      <c r="AV7" s="1340">
        <f t="shared" si="2"/>
        <v>173003</v>
      </c>
      <c r="AW7" s="1343">
        <f t="shared" si="2"/>
        <v>396.9</v>
      </c>
      <c r="AX7" s="1340">
        <f t="shared" si="2"/>
        <v>38593</v>
      </c>
      <c r="AY7" s="1340">
        <f t="shared" si="2"/>
        <v>37934</v>
      </c>
      <c r="AZ7" s="1344">
        <f t="shared" si="2"/>
        <v>117.38</v>
      </c>
      <c r="BA7" s="1340">
        <f t="shared" si="2"/>
        <v>110077</v>
      </c>
      <c r="BB7" s="1340">
        <f t="shared" si="2"/>
        <v>1648221</v>
      </c>
      <c r="BC7" s="1341">
        <f t="shared" si="2"/>
        <v>663.67</v>
      </c>
      <c r="BD7" s="1342">
        <f t="shared" si="2"/>
        <v>12485</v>
      </c>
      <c r="BE7" s="1340">
        <f t="shared" si="2"/>
        <v>12103</v>
      </c>
      <c r="BF7" s="1344">
        <f t="shared" si="2"/>
        <v>52.54</v>
      </c>
      <c r="BG7" s="1340">
        <f t="shared" si="2"/>
        <v>40799</v>
      </c>
      <c r="BH7" s="1340">
        <f t="shared" si="2"/>
        <v>152593</v>
      </c>
      <c r="BI7" s="1343">
        <f t="shared" si="2"/>
        <v>470.33000000000004</v>
      </c>
      <c r="BJ7" s="1340">
        <f t="shared" si="2"/>
        <v>213102</v>
      </c>
      <c r="BK7" s="1340">
        <f t="shared" si="2"/>
        <v>214810</v>
      </c>
      <c r="BL7" s="1341">
        <f t="shared" si="2"/>
        <v>1170.1</v>
      </c>
      <c r="BM7" s="1342">
        <f t="shared" si="2"/>
        <v>769161</v>
      </c>
      <c r="BN7" s="1340">
        <f aca="true" t="shared" si="3" ref="BN7:CS7">SUM(BN5:BN6)</f>
        <v>39562968</v>
      </c>
      <c r="BO7" s="1343">
        <f t="shared" si="3"/>
        <v>19022.379999999997</v>
      </c>
      <c r="BP7" s="1340">
        <f t="shared" si="3"/>
        <v>137144</v>
      </c>
      <c r="BQ7" s="1340">
        <f t="shared" si="3"/>
        <v>131797</v>
      </c>
      <c r="BR7" s="1341">
        <f t="shared" si="3"/>
        <v>843</v>
      </c>
      <c r="BS7" s="1342">
        <f t="shared" si="3"/>
        <v>528929</v>
      </c>
      <c r="BT7" s="1340">
        <f t="shared" si="3"/>
        <v>26186522</v>
      </c>
      <c r="BU7" s="1343">
        <f t="shared" si="3"/>
        <v>12384</v>
      </c>
      <c r="BV7" s="1340">
        <f t="shared" si="3"/>
        <v>11537</v>
      </c>
      <c r="BW7" s="1340">
        <f t="shared" si="3"/>
        <v>10288</v>
      </c>
      <c r="BX7" s="1344">
        <f t="shared" si="3"/>
        <v>144.37</v>
      </c>
      <c r="BY7" s="1340">
        <f t="shared" si="3"/>
        <v>30338</v>
      </c>
      <c r="BZ7" s="1340">
        <f t="shared" si="3"/>
        <v>49795</v>
      </c>
      <c r="CA7" s="1344">
        <f t="shared" si="3"/>
        <v>487.37</v>
      </c>
      <c r="CB7" s="1344">
        <f t="shared" si="3"/>
        <v>0</v>
      </c>
      <c r="CC7" s="1344">
        <f t="shared" si="3"/>
        <v>0</v>
      </c>
      <c r="CD7" s="1344">
        <f t="shared" si="3"/>
        <v>0</v>
      </c>
      <c r="CE7" s="1344">
        <f t="shared" si="3"/>
        <v>0</v>
      </c>
      <c r="CF7" s="1344">
        <f t="shared" si="3"/>
        <v>0</v>
      </c>
      <c r="CG7" s="1344">
        <f t="shared" si="3"/>
        <v>0</v>
      </c>
      <c r="CH7" s="1340">
        <f t="shared" si="3"/>
        <v>77394</v>
      </c>
      <c r="CI7" s="1340">
        <f t="shared" si="3"/>
        <v>75875</v>
      </c>
      <c r="CJ7" s="1344">
        <f t="shared" si="3"/>
        <v>248.69</v>
      </c>
      <c r="CK7" s="1340">
        <f t="shared" si="3"/>
        <v>263881</v>
      </c>
      <c r="CL7" s="1340">
        <f t="shared" si="3"/>
        <v>15940251</v>
      </c>
      <c r="CM7" s="1344">
        <f t="shared" si="3"/>
        <v>5007.82</v>
      </c>
      <c r="CN7" s="1340">
        <f t="shared" si="3"/>
        <v>153529</v>
      </c>
      <c r="CO7" s="1340">
        <f t="shared" si="3"/>
        <v>146447</v>
      </c>
      <c r="CP7" s="1344">
        <f t="shared" si="3"/>
        <v>1183.35</v>
      </c>
      <c r="CQ7" s="1340">
        <f t="shared" si="3"/>
        <v>491507</v>
      </c>
      <c r="CR7" s="1340">
        <f t="shared" si="3"/>
        <v>4699709</v>
      </c>
      <c r="CS7" s="1344">
        <f t="shared" si="3"/>
        <v>5642.87</v>
      </c>
      <c r="CT7" s="1344">
        <f aca="true" t="shared" si="4" ref="CT7:DY7">SUM(CT5:CT6)</f>
        <v>0</v>
      </c>
      <c r="CU7" s="1344">
        <f t="shared" si="4"/>
        <v>0</v>
      </c>
      <c r="CV7" s="1344">
        <f t="shared" si="4"/>
        <v>0</v>
      </c>
      <c r="CW7" s="1344">
        <f t="shared" si="4"/>
        <v>0</v>
      </c>
      <c r="CX7" s="1344">
        <f t="shared" si="4"/>
        <v>0</v>
      </c>
      <c r="CY7" s="1344">
        <f t="shared" si="4"/>
        <v>0</v>
      </c>
      <c r="CZ7" s="1340">
        <f t="shared" si="4"/>
        <v>62154</v>
      </c>
      <c r="DA7" s="1340">
        <f t="shared" si="4"/>
        <v>58152</v>
      </c>
      <c r="DB7" s="1344">
        <f t="shared" si="4"/>
        <v>252.32</v>
      </c>
      <c r="DC7" s="1340">
        <f t="shared" si="4"/>
        <v>129370</v>
      </c>
      <c r="DD7" s="1340">
        <f t="shared" si="4"/>
        <v>290092</v>
      </c>
      <c r="DE7" s="1344">
        <f t="shared" si="4"/>
        <v>882.6600000000001</v>
      </c>
      <c r="DF7" s="1344">
        <f t="shared" si="4"/>
        <v>0</v>
      </c>
      <c r="DG7" s="1344">
        <f t="shared" si="4"/>
        <v>0</v>
      </c>
      <c r="DH7" s="1344">
        <f t="shared" si="4"/>
        <v>0</v>
      </c>
      <c r="DI7" s="1344">
        <f t="shared" si="4"/>
        <v>0</v>
      </c>
      <c r="DJ7" s="1344">
        <f t="shared" si="4"/>
        <v>0</v>
      </c>
      <c r="DK7" s="1344">
        <f t="shared" si="4"/>
        <v>0</v>
      </c>
      <c r="DL7" s="1340">
        <f t="shared" si="4"/>
        <v>440907</v>
      </c>
      <c r="DM7" s="1340">
        <f t="shared" si="4"/>
        <v>440907</v>
      </c>
      <c r="DN7" s="1341">
        <f t="shared" si="4"/>
        <v>2319</v>
      </c>
      <c r="DO7" s="1342">
        <f t="shared" si="4"/>
        <v>1215984</v>
      </c>
      <c r="DP7" s="1340">
        <f t="shared" si="4"/>
        <v>11872172</v>
      </c>
      <c r="DQ7" s="1341">
        <f t="shared" si="4"/>
        <v>18304</v>
      </c>
      <c r="DR7" s="1342">
        <f t="shared" si="4"/>
        <v>131563</v>
      </c>
      <c r="DS7" s="1340">
        <f t="shared" si="4"/>
        <v>3364887</v>
      </c>
      <c r="DT7" s="1341">
        <f t="shared" si="4"/>
        <v>5508.78</v>
      </c>
      <c r="DU7" s="1342">
        <f t="shared" si="4"/>
        <v>163555</v>
      </c>
      <c r="DV7" s="1340">
        <f t="shared" si="4"/>
        <v>2801748</v>
      </c>
      <c r="DW7" s="1341">
        <f t="shared" si="4"/>
        <v>7389.46</v>
      </c>
      <c r="DX7" s="1342">
        <f t="shared" si="4"/>
        <v>35851</v>
      </c>
      <c r="DY7" s="1340">
        <f t="shared" si="4"/>
        <v>35851</v>
      </c>
      <c r="DZ7" s="1341">
        <f aca="true" t="shared" si="5" ref="DZ7:EO7">SUM(DZ5:DZ6)</f>
        <v>250.12</v>
      </c>
      <c r="EA7" s="1342">
        <f t="shared" si="5"/>
        <v>63716</v>
      </c>
      <c r="EB7" s="1340">
        <f t="shared" si="5"/>
        <v>4665610</v>
      </c>
      <c r="EC7" s="1341">
        <f t="shared" si="5"/>
        <v>913.79</v>
      </c>
      <c r="ED7" s="1342">
        <f t="shared" si="5"/>
        <v>105773</v>
      </c>
      <c r="EE7" s="1340">
        <f t="shared" si="5"/>
        <v>98304</v>
      </c>
      <c r="EF7" s="1341">
        <f t="shared" si="5"/>
        <v>428.81</v>
      </c>
      <c r="EG7" s="1342">
        <f t="shared" si="5"/>
        <v>354834</v>
      </c>
      <c r="EH7" s="1340">
        <f t="shared" si="5"/>
        <v>953969</v>
      </c>
      <c r="EI7" s="1341">
        <f t="shared" si="5"/>
        <v>3714.9199999999996</v>
      </c>
      <c r="EJ7" s="1342">
        <f t="shared" si="5"/>
        <v>4500369</v>
      </c>
      <c r="EK7" s="1340">
        <f t="shared" si="5"/>
        <v>4060118</v>
      </c>
      <c r="EL7" s="1341">
        <f t="shared" si="5"/>
        <v>6110.71</v>
      </c>
      <c r="EM7" s="1342">
        <f t="shared" si="5"/>
        <v>16475070</v>
      </c>
      <c r="EN7" s="1340">
        <f t="shared" si="5"/>
        <v>14479721</v>
      </c>
      <c r="EO7" s="1343">
        <f t="shared" si="5"/>
        <v>50295.798</v>
      </c>
      <c r="EP7" s="1342">
        <f t="shared" si="0"/>
        <v>6239338</v>
      </c>
      <c r="EQ7" s="1342">
        <f t="shared" si="0"/>
        <v>11340853</v>
      </c>
      <c r="ER7" s="1342">
        <f t="shared" si="0"/>
        <v>21494.3</v>
      </c>
      <c r="ES7" s="1342">
        <f t="shared" si="0"/>
        <v>21452584</v>
      </c>
      <c r="ET7" s="1342">
        <f t="shared" si="0"/>
        <v>156656824</v>
      </c>
      <c r="EU7" s="1345">
        <f t="shared" si="0"/>
        <v>159031.85799999998</v>
      </c>
    </row>
    <row r="8" spans="65:66" ht="14.25">
      <c r="BM8" s="41"/>
      <c r="BN8" s="41"/>
    </row>
  </sheetData>
  <sheetProtection/>
  <mergeCells count="76">
    <mergeCell ref="BK2:BO2"/>
    <mergeCell ref="BP2:BU2"/>
    <mergeCell ref="BV2:CA2"/>
    <mergeCell ref="CB2:CG2"/>
    <mergeCell ref="CH2:CM2"/>
    <mergeCell ref="Z2:AE2"/>
    <mergeCell ref="AF2:AK2"/>
    <mergeCell ref="AL2:AQ2"/>
    <mergeCell ref="AR2:AW2"/>
    <mergeCell ref="AX2:BC2"/>
    <mergeCell ref="BD2:BI2"/>
    <mergeCell ref="DX2:EC2"/>
    <mergeCell ref="ED2:EI2"/>
    <mergeCell ref="EJ2:EO2"/>
    <mergeCell ref="EP2:EU2"/>
    <mergeCell ref="CN2:CS2"/>
    <mergeCell ref="CT2:CY2"/>
    <mergeCell ref="CZ2:DE2"/>
    <mergeCell ref="DF2:DK2"/>
    <mergeCell ref="DL2:DQ2"/>
    <mergeCell ref="B3:D3"/>
    <mergeCell ref="E3:G3"/>
    <mergeCell ref="H3:J3"/>
    <mergeCell ref="K3:M3"/>
    <mergeCell ref="N3:P3"/>
    <mergeCell ref="DR2:DW2"/>
    <mergeCell ref="B2:G2"/>
    <mergeCell ref="H2:M2"/>
    <mergeCell ref="N2:S2"/>
    <mergeCell ref="T2:Y2"/>
    <mergeCell ref="AF3:AH3"/>
    <mergeCell ref="AI3:AK3"/>
    <mergeCell ref="AL3:AN3"/>
    <mergeCell ref="AO3:AQ3"/>
    <mergeCell ref="AR3:AT3"/>
    <mergeCell ref="Q3:S3"/>
    <mergeCell ref="T3:V3"/>
    <mergeCell ref="W3:Y3"/>
    <mergeCell ref="Z3:AB3"/>
    <mergeCell ref="AC3:AE3"/>
    <mergeCell ref="BJ3:BL3"/>
    <mergeCell ref="BM3:BO3"/>
    <mergeCell ref="BP3:BR3"/>
    <mergeCell ref="BS3:BU3"/>
    <mergeCell ref="BV3:BX3"/>
    <mergeCell ref="AU3:AW3"/>
    <mergeCell ref="AX3:AZ3"/>
    <mergeCell ref="BA3:BC3"/>
    <mergeCell ref="BD3:BF3"/>
    <mergeCell ref="BG3:BI3"/>
    <mergeCell ref="CN3:CP3"/>
    <mergeCell ref="CQ3:CS3"/>
    <mergeCell ref="CT3:CV3"/>
    <mergeCell ref="CW3:CY3"/>
    <mergeCell ref="CZ3:DB3"/>
    <mergeCell ref="BY3:CA3"/>
    <mergeCell ref="CB3:CD3"/>
    <mergeCell ref="CE3:CG3"/>
    <mergeCell ref="CH3:CJ3"/>
    <mergeCell ref="CK3:CM3"/>
    <mergeCell ref="EM3:EO3"/>
    <mergeCell ref="DC3:DE3"/>
    <mergeCell ref="DF3:DH3"/>
    <mergeCell ref="DI3:DK3"/>
    <mergeCell ref="DL3:DN3"/>
    <mergeCell ref="DO3:DQ3"/>
    <mergeCell ref="A2:A4"/>
    <mergeCell ref="DR3:DT3"/>
    <mergeCell ref="DU3:DW3"/>
    <mergeCell ref="EP3:ER3"/>
    <mergeCell ref="ES3:EU3"/>
    <mergeCell ref="DX3:DZ3"/>
    <mergeCell ref="EA3:EC3"/>
    <mergeCell ref="ED3:EF3"/>
    <mergeCell ref="EG3:EI3"/>
    <mergeCell ref="EJ3:EL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</sheetPr>
  <dimension ref="A1:BA16"/>
  <sheetViews>
    <sheetView zoomScalePageLayoutView="0" workbookViewId="0" topLeftCell="A2">
      <pane xSplit="1" topLeftCell="B1" activePane="topRight" state="frozen"/>
      <selection pane="topLeft" activeCell="A1" sqref="A1"/>
      <selection pane="topRight" activeCell="K19" sqref="K19"/>
    </sheetView>
  </sheetViews>
  <sheetFormatPr defaultColWidth="9.140625" defaultRowHeight="15"/>
  <cols>
    <col min="1" max="1" width="37.28125" style="11" customWidth="1"/>
    <col min="2" max="2" width="8.57421875" style="11" bestFit="1" customWidth="1"/>
    <col min="3" max="3" width="11.421875" style="11" bestFit="1" customWidth="1"/>
    <col min="4" max="6" width="8.57421875" style="11" bestFit="1" customWidth="1"/>
    <col min="7" max="7" width="11.00390625" style="11" bestFit="1" customWidth="1"/>
    <col min="8" max="8" width="11.00390625" style="11" customWidth="1"/>
    <col min="9" max="9" width="11.00390625" style="11" bestFit="1" customWidth="1"/>
    <col min="10" max="10" width="11.00390625" style="11" customWidth="1"/>
    <col min="11" max="13" width="8.57421875" style="11" bestFit="1" customWidth="1"/>
    <col min="14" max="15" width="9.00390625" style="11" bestFit="1" customWidth="1"/>
    <col min="16" max="16" width="8.57421875" style="11" bestFit="1" customWidth="1"/>
    <col min="17" max="18" width="11.00390625" style="11" customWidth="1"/>
    <col min="19" max="21" width="8.57421875" style="11" bestFit="1" customWidth="1"/>
    <col min="22" max="24" width="9.00390625" style="11" bestFit="1" customWidth="1"/>
    <col min="25" max="25" width="11.421875" style="11" bestFit="1" customWidth="1"/>
    <col min="26" max="26" width="11.421875" style="11" customWidth="1"/>
    <col min="27" max="30" width="8.57421875" style="11" bestFit="1" customWidth="1"/>
    <col min="31" max="31" width="11.421875" style="11" bestFit="1" customWidth="1"/>
    <col min="32" max="32" width="11.421875" style="11" customWidth="1"/>
    <col min="33" max="39" width="8.57421875" style="11" bestFit="1" customWidth="1"/>
    <col min="40" max="40" width="11.00390625" style="11" customWidth="1"/>
    <col min="41" max="42" width="11.421875" style="11" customWidth="1"/>
    <col min="43" max="43" width="9.00390625" style="11" bestFit="1" customWidth="1"/>
    <col min="44" max="47" width="8.57421875" style="11" bestFit="1" customWidth="1"/>
    <col min="48" max="49" width="11.00390625" style="11" bestFit="1" customWidth="1"/>
    <col min="50" max="50" width="11.00390625" style="11" customWidth="1"/>
    <col min="51" max="52" width="11.421875" style="11" customWidth="1"/>
    <col min="53" max="53" width="11.421875" style="11" bestFit="1" customWidth="1"/>
    <col min="54" max="54" width="9.57421875" style="11" bestFit="1" customWidth="1"/>
    <col min="55" max="16384" width="9.140625" style="11" customWidth="1"/>
  </cols>
  <sheetData>
    <row r="1" spans="1:53" ht="14.25">
      <c r="A1" s="1733" t="s">
        <v>110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  <c r="L1" s="1733"/>
      <c r="M1" s="1733"/>
      <c r="N1" s="1733"/>
      <c r="O1" s="1733"/>
      <c r="P1" s="1733"/>
      <c r="Q1" s="1733"/>
      <c r="R1" s="1733"/>
      <c r="S1" s="1733"/>
      <c r="T1" s="1733"/>
      <c r="U1" s="1733"/>
      <c r="V1" s="1733"/>
      <c r="W1" s="1733"/>
      <c r="X1" s="1733"/>
      <c r="Y1" s="1733"/>
      <c r="Z1" s="1733"/>
      <c r="AA1" s="1733"/>
      <c r="AB1" s="1733"/>
      <c r="AC1" s="1733"/>
      <c r="AD1" s="1733"/>
      <c r="AE1" s="1733"/>
      <c r="AF1" s="1733"/>
      <c r="AG1" s="1733"/>
      <c r="AH1" s="1733"/>
      <c r="AI1" s="1733"/>
      <c r="AJ1" s="1733"/>
      <c r="AK1" s="1733"/>
      <c r="AL1" s="1733"/>
      <c r="AM1" s="1733"/>
      <c r="AN1" s="1733"/>
      <c r="AO1" s="1733"/>
      <c r="AP1" s="1733"/>
      <c r="AQ1" s="1733"/>
      <c r="AR1" s="1733"/>
      <c r="AS1" s="1733"/>
      <c r="AT1" s="1733"/>
      <c r="AU1" s="1733"/>
      <c r="AV1" s="1733"/>
      <c r="AW1" s="1733"/>
      <c r="AX1" s="1733"/>
      <c r="AY1" s="1733"/>
      <c r="AZ1" s="1733"/>
      <c r="BA1" s="1733"/>
    </row>
    <row r="2" spans="1:53" ht="15" thickBot="1">
      <c r="A2" s="1734" t="s">
        <v>534</v>
      </c>
      <c r="B2" s="1734"/>
      <c r="C2" s="1734"/>
      <c r="D2" s="1734"/>
      <c r="E2" s="1734"/>
      <c r="F2" s="1734"/>
      <c r="G2" s="1734"/>
      <c r="H2" s="1734"/>
      <c r="I2" s="1734"/>
      <c r="J2" s="1734"/>
      <c r="K2" s="1734"/>
      <c r="L2" s="1734"/>
      <c r="M2" s="1734"/>
      <c r="N2" s="1734"/>
      <c r="O2" s="1734"/>
      <c r="P2" s="1734"/>
      <c r="Q2" s="1734"/>
      <c r="R2" s="1734"/>
      <c r="S2" s="1734"/>
      <c r="T2" s="1734"/>
      <c r="U2" s="1734"/>
      <c r="V2" s="1734"/>
      <c r="W2" s="1734"/>
      <c r="X2" s="1734"/>
      <c r="Y2" s="1734"/>
      <c r="Z2" s="1734"/>
      <c r="AA2" s="1734"/>
      <c r="AB2" s="1734"/>
      <c r="AC2" s="1734"/>
      <c r="AD2" s="1734"/>
      <c r="AE2" s="1734"/>
      <c r="AF2" s="1734"/>
      <c r="AG2" s="1734"/>
      <c r="AH2" s="1734"/>
      <c r="AI2" s="1734"/>
      <c r="AJ2" s="1734"/>
      <c r="AK2" s="1734"/>
      <c r="AL2" s="1734"/>
      <c r="AM2" s="1734"/>
      <c r="AN2" s="1734"/>
      <c r="AO2" s="1734"/>
      <c r="AP2" s="1734"/>
      <c r="AQ2" s="1734"/>
      <c r="AR2" s="1734"/>
      <c r="AS2" s="1734"/>
      <c r="AT2" s="1734"/>
      <c r="AU2" s="1734"/>
      <c r="AV2" s="1734"/>
      <c r="AW2" s="1734"/>
      <c r="AX2" s="1734"/>
      <c r="AY2" s="1734"/>
      <c r="AZ2" s="1734"/>
      <c r="BA2" s="1734"/>
    </row>
    <row r="3" spans="1:53" ht="84" customHeight="1" thickBot="1">
      <c r="A3" s="584" t="s">
        <v>111</v>
      </c>
      <c r="B3" s="1606" t="s">
        <v>163</v>
      </c>
      <c r="C3" s="1607"/>
      <c r="D3" s="1614" t="s">
        <v>164</v>
      </c>
      <c r="E3" s="1615"/>
      <c r="F3" s="1614" t="s">
        <v>165</v>
      </c>
      <c r="G3" s="1615"/>
      <c r="H3" s="1614" t="s">
        <v>166</v>
      </c>
      <c r="I3" s="1615"/>
      <c r="J3" s="1614" t="s">
        <v>167</v>
      </c>
      <c r="K3" s="1615"/>
      <c r="L3" s="1614" t="s">
        <v>168</v>
      </c>
      <c r="M3" s="1615"/>
      <c r="N3" s="1614" t="s">
        <v>446</v>
      </c>
      <c r="O3" s="1615"/>
      <c r="P3" s="1614" t="s">
        <v>169</v>
      </c>
      <c r="Q3" s="1615"/>
      <c r="R3" s="1614" t="s">
        <v>170</v>
      </c>
      <c r="S3" s="1615"/>
      <c r="T3" s="1614" t="s">
        <v>171</v>
      </c>
      <c r="U3" s="1615"/>
      <c r="V3" s="1614" t="s">
        <v>172</v>
      </c>
      <c r="W3" s="1615"/>
      <c r="X3" s="1614" t="s">
        <v>173</v>
      </c>
      <c r="Y3" s="1615"/>
      <c r="Z3" s="1614" t="s">
        <v>526</v>
      </c>
      <c r="AA3" s="1615"/>
      <c r="AB3" s="1614" t="s">
        <v>174</v>
      </c>
      <c r="AC3" s="1615"/>
      <c r="AD3" s="1735" t="s">
        <v>175</v>
      </c>
      <c r="AE3" s="1736"/>
      <c r="AF3" s="1614" t="s">
        <v>176</v>
      </c>
      <c r="AG3" s="1615"/>
      <c r="AH3" s="1614" t="s">
        <v>177</v>
      </c>
      <c r="AI3" s="1615"/>
      <c r="AJ3" s="1614" t="s">
        <v>178</v>
      </c>
      <c r="AK3" s="1615"/>
      <c r="AL3" s="1735" t="s">
        <v>179</v>
      </c>
      <c r="AM3" s="1736"/>
      <c r="AN3" s="1614" t="s">
        <v>180</v>
      </c>
      <c r="AO3" s="1615"/>
      <c r="AP3" s="1614" t="s">
        <v>181</v>
      </c>
      <c r="AQ3" s="1615"/>
      <c r="AR3" s="1614" t="s">
        <v>182</v>
      </c>
      <c r="AS3" s="1615"/>
      <c r="AT3" s="1614" t="s">
        <v>183</v>
      </c>
      <c r="AU3" s="1616"/>
      <c r="AV3" s="1617" t="s">
        <v>1</v>
      </c>
      <c r="AW3" s="1618"/>
      <c r="AX3" s="1735" t="s">
        <v>184</v>
      </c>
      <c r="AY3" s="1736"/>
      <c r="AZ3" s="1724" t="s">
        <v>2</v>
      </c>
      <c r="BA3" s="1726"/>
    </row>
    <row r="4" spans="1:53" s="589" customFormat="1" ht="54.75" thickBot="1">
      <c r="A4" s="585"/>
      <c r="B4" s="1314" t="s">
        <v>533</v>
      </c>
      <c r="C4" s="586" t="s">
        <v>381</v>
      </c>
      <c r="D4" s="586" t="s">
        <v>533</v>
      </c>
      <c r="E4" s="586" t="s">
        <v>381</v>
      </c>
      <c r="F4" s="586" t="s">
        <v>533</v>
      </c>
      <c r="G4" s="587" t="s">
        <v>381</v>
      </c>
      <c r="H4" s="586" t="s">
        <v>533</v>
      </c>
      <c r="I4" s="586" t="s">
        <v>381</v>
      </c>
      <c r="J4" s="586" t="s">
        <v>533</v>
      </c>
      <c r="K4" s="586" t="s">
        <v>381</v>
      </c>
      <c r="L4" s="586" t="s">
        <v>533</v>
      </c>
      <c r="M4" s="586" t="s">
        <v>381</v>
      </c>
      <c r="N4" s="586" t="s">
        <v>533</v>
      </c>
      <c r="O4" s="588" t="s">
        <v>381</v>
      </c>
      <c r="P4" s="586" t="s">
        <v>533</v>
      </c>
      <c r="Q4" s="587" t="s">
        <v>381</v>
      </c>
      <c r="R4" s="586" t="s">
        <v>533</v>
      </c>
      <c r="S4" s="586" t="s">
        <v>381</v>
      </c>
      <c r="T4" s="586" t="s">
        <v>533</v>
      </c>
      <c r="U4" s="586" t="s">
        <v>381</v>
      </c>
      <c r="V4" s="586" t="s">
        <v>533</v>
      </c>
      <c r="W4" s="586" t="s">
        <v>381</v>
      </c>
      <c r="X4" s="586" t="s">
        <v>533</v>
      </c>
      <c r="Y4" s="588" t="s">
        <v>381</v>
      </c>
      <c r="Z4" s="586" t="s">
        <v>533</v>
      </c>
      <c r="AA4" s="586" t="s">
        <v>381</v>
      </c>
      <c r="AB4" s="586" t="s">
        <v>533</v>
      </c>
      <c r="AC4" s="586" t="s">
        <v>381</v>
      </c>
      <c r="AD4" s="586" t="s">
        <v>533</v>
      </c>
      <c r="AE4" s="587" t="s">
        <v>381</v>
      </c>
      <c r="AF4" s="586" t="s">
        <v>533</v>
      </c>
      <c r="AG4" s="586" t="s">
        <v>381</v>
      </c>
      <c r="AH4" s="586" t="s">
        <v>533</v>
      </c>
      <c r="AI4" s="586" t="s">
        <v>381</v>
      </c>
      <c r="AJ4" s="586" t="s">
        <v>533</v>
      </c>
      <c r="AK4" s="586" t="s">
        <v>381</v>
      </c>
      <c r="AL4" s="586" t="s">
        <v>533</v>
      </c>
      <c r="AM4" s="588" t="s">
        <v>381</v>
      </c>
      <c r="AN4" s="586" t="s">
        <v>533</v>
      </c>
      <c r="AO4" s="586" t="s">
        <v>381</v>
      </c>
      <c r="AP4" s="586" t="s">
        <v>533</v>
      </c>
      <c r="AQ4" s="586" t="s">
        <v>381</v>
      </c>
      <c r="AR4" s="586" t="s">
        <v>533</v>
      </c>
      <c r="AS4" s="587" t="s">
        <v>381</v>
      </c>
      <c r="AT4" s="586" t="s">
        <v>533</v>
      </c>
      <c r="AU4" s="586" t="s">
        <v>381</v>
      </c>
      <c r="AV4" s="586" t="s">
        <v>533</v>
      </c>
      <c r="AW4" s="588" t="s">
        <v>381</v>
      </c>
      <c r="AX4" s="586" t="s">
        <v>533</v>
      </c>
      <c r="AY4" s="586" t="s">
        <v>381</v>
      </c>
      <c r="AZ4" s="586" t="s">
        <v>533</v>
      </c>
      <c r="BA4" s="588" t="s">
        <v>381</v>
      </c>
    </row>
    <row r="5" spans="1:53" s="41" customFormat="1" ht="14.25">
      <c r="A5" s="390" t="s">
        <v>112</v>
      </c>
      <c r="B5" s="1316">
        <v>5047886</v>
      </c>
      <c r="C5" s="1311">
        <v>3962422</v>
      </c>
      <c r="D5" s="401">
        <v>309190</v>
      </c>
      <c r="E5" s="394">
        <v>249550</v>
      </c>
      <c r="F5" s="394">
        <v>1047719</v>
      </c>
      <c r="G5" s="394">
        <v>897600</v>
      </c>
      <c r="H5" s="394">
        <v>6177043</v>
      </c>
      <c r="I5" s="394">
        <v>4705031</v>
      </c>
      <c r="J5" s="394">
        <v>925741.29</v>
      </c>
      <c r="K5" s="394">
        <v>717609.75</v>
      </c>
      <c r="L5" s="394">
        <v>2052208</v>
      </c>
      <c r="M5" s="394">
        <v>1446597</v>
      </c>
      <c r="N5" s="394">
        <v>48093595</v>
      </c>
      <c r="O5" s="394">
        <v>41960575</v>
      </c>
      <c r="P5" s="394">
        <v>403499</v>
      </c>
      <c r="Q5" s="394">
        <v>27773157</v>
      </c>
      <c r="R5" s="394">
        <v>1720345</v>
      </c>
      <c r="S5" s="394">
        <v>1476072</v>
      </c>
      <c r="T5" s="394">
        <v>520050</v>
      </c>
      <c r="U5" s="394">
        <v>437534</v>
      </c>
      <c r="V5" s="394">
        <v>16094269</v>
      </c>
      <c r="W5" s="394">
        <v>12005980</v>
      </c>
      <c r="X5" s="394">
        <v>20267525.19</v>
      </c>
      <c r="Y5" s="394">
        <v>14735375.33</v>
      </c>
      <c r="Z5" s="394">
        <v>1143011</v>
      </c>
      <c r="AA5" s="398">
        <v>929064</v>
      </c>
      <c r="AB5" s="398">
        <v>1662282</v>
      </c>
      <c r="AC5" s="394">
        <v>1429245</v>
      </c>
      <c r="AD5" s="394">
        <v>4449863</v>
      </c>
      <c r="AE5" s="394">
        <v>3356404</v>
      </c>
      <c r="AF5" s="394">
        <v>8773575</v>
      </c>
      <c r="AG5" s="394">
        <v>6726838</v>
      </c>
      <c r="AH5" s="394"/>
      <c r="AI5" s="394">
        <v>2149751</v>
      </c>
      <c r="AJ5" s="394">
        <v>2331673</v>
      </c>
      <c r="AK5" s="394">
        <v>1906454</v>
      </c>
      <c r="AL5" s="394"/>
      <c r="AM5" s="391"/>
      <c r="AN5" s="1317">
        <v>2093195455</v>
      </c>
      <c r="AO5" s="390">
        <v>15377784.53</v>
      </c>
      <c r="AP5" s="390">
        <v>58331853</v>
      </c>
      <c r="AQ5" s="386">
        <v>45384222</v>
      </c>
      <c r="AR5" s="386">
        <v>1171097</v>
      </c>
      <c r="AS5" s="384">
        <v>901193</v>
      </c>
      <c r="AT5" s="384">
        <v>4370148</v>
      </c>
      <c r="AU5" s="394">
        <v>2953072</v>
      </c>
      <c r="AV5" s="378">
        <f aca="true" t="shared" si="0" ref="AV5:AW15">SUM(B5+D5+F5+H5+J5+L5+N5+P5+R5+T5+V5+X5+Z5+AB5+AD5+AF5+AH5+AJ5+AL5+AN5+AP5+AR5+AT5)</f>
        <v>2278088027.48</v>
      </c>
      <c r="AW5" s="60">
        <f t="shared" si="0"/>
        <v>191481530.60999998</v>
      </c>
      <c r="AX5" s="60"/>
      <c r="AY5" s="382"/>
      <c r="AZ5" s="384">
        <f aca="true" t="shared" si="1" ref="AZ5:BA15">AV5+AX5</f>
        <v>2278088027.48</v>
      </c>
      <c r="BA5" s="405">
        <f t="shared" si="1"/>
        <v>191481530.60999998</v>
      </c>
    </row>
    <row r="6" spans="1:53" s="41" customFormat="1" ht="14.25">
      <c r="A6" s="390" t="s">
        <v>113</v>
      </c>
      <c r="B6" s="526"/>
      <c r="C6" s="219"/>
      <c r="D6" s="402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99"/>
      <c r="AB6" s="399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92"/>
      <c r="AN6" s="392"/>
      <c r="AO6" s="388"/>
      <c r="AP6" s="388"/>
      <c r="AQ6" s="387"/>
      <c r="AR6" s="387"/>
      <c r="AS6" s="290"/>
      <c r="AT6" s="290"/>
      <c r="AU6" s="388"/>
      <c r="AV6" s="378">
        <f t="shared" si="0"/>
        <v>0</v>
      </c>
      <c r="AW6" s="380">
        <f t="shared" si="0"/>
        <v>0</v>
      </c>
      <c r="AX6" s="380"/>
      <c r="AY6" s="371"/>
      <c r="AZ6" s="384">
        <f t="shared" si="1"/>
        <v>0</v>
      </c>
      <c r="BA6" s="379">
        <f t="shared" si="1"/>
        <v>0</v>
      </c>
    </row>
    <row r="7" spans="1:53" s="41" customFormat="1" ht="14.25">
      <c r="A7" s="390" t="s">
        <v>114</v>
      </c>
      <c r="B7" s="526">
        <v>5045368</v>
      </c>
      <c r="C7" s="218">
        <v>3994944</v>
      </c>
      <c r="D7" s="403">
        <v>283953</v>
      </c>
      <c r="E7" s="395">
        <v>229986</v>
      </c>
      <c r="F7" s="395">
        <v>1010871</v>
      </c>
      <c r="G7" s="395">
        <v>854202</v>
      </c>
      <c r="H7" s="395">
        <v>6082533</v>
      </c>
      <c r="I7" s="395">
        <v>4615800</v>
      </c>
      <c r="J7" s="395">
        <v>878609.08</v>
      </c>
      <c r="K7" s="395">
        <v>676305.21</v>
      </c>
      <c r="L7" s="395">
        <v>1998659</v>
      </c>
      <c r="M7" s="395">
        <v>1413744</v>
      </c>
      <c r="N7" s="395">
        <v>47317076</v>
      </c>
      <c r="O7" s="395">
        <v>41222912</v>
      </c>
      <c r="P7" s="395">
        <v>400387</v>
      </c>
      <c r="Q7" s="395">
        <v>27369015</v>
      </c>
      <c r="R7" s="395">
        <v>1680951</v>
      </c>
      <c r="S7" s="395">
        <v>1452821</v>
      </c>
      <c r="T7" s="395">
        <v>493410</v>
      </c>
      <c r="U7" s="395">
        <v>417417</v>
      </c>
      <c r="V7" s="395">
        <v>16028252</v>
      </c>
      <c r="W7" s="395">
        <v>11945289</v>
      </c>
      <c r="X7" s="395">
        <v>19876270.23</v>
      </c>
      <c r="Y7" s="395">
        <v>14444060.09</v>
      </c>
      <c r="Z7" s="395">
        <v>1112341</v>
      </c>
      <c r="AA7" s="399">
        <v>909582</v>
      </c>
      <c r="AB7" s="399">
        <v>1612136</v>
      </c>
      <c r="AC7" s="395">
        <v>1387264</v>
      </c>
      <c r="AD7" s="395">
        <v>4170672</v>
      </c>
      <c r="AE7" s="397">
        <v>3120823</v>
      </c>
      <c r="AF7" s="397">
        <v>8426725</v>
      </c>
      <c r="AG7" s="395">
        <v>6464491</v>
      </c>
      <c r="AH7" s="395"/>
      <c r="AI7" s="395">
        <v>2111875</v>
      </c>
      <c r="AJ7" s="395">
        <v>2295958</v>
      </c>
      <c r="AK7" s="395">
        <v>1915158</v>
      </c>
      <c r="AL7" s="395"/>
      <c r="AM7" s="392"/>
      <c r="AN7" s="1317">
        <v>2086224936</v>
      </c>
      <c r="AO7" s="390">
        <v>15468833.33</v>
      </c>
      <c r="AP7" s="390">
        <v>57984783</v>
      </c>
      <c r="AQ7" s="387">
        <v>45530290</v>
      </c>
      <c r="AR7" s="387">
        <v>1118774</v>
      </c>
      <c r="AS7" s="290">
        <v>869393</v>
      </c>
      <c r="AT7" s="290">
        <v>4278543</v>
      </c>
      <c r="AU7" s="395">
        <v>2895341</v>
      </c>
      <c r="AV7" s="378">
        <f t="shared" si="0"/>
        <v>2268321207.31</v>
      </c>
      <c r="AW7" s="380">
        <f t="shared" si="0"/>
        <v>189309545.63000003</v>
      </c>
      <c r="AX7" s="380"/>
      <c r="AY7" s="380"/>
      <c r="AZ7" s="384">
        <f t="shared" si="1"/>
        <v>2268321207.31</v>
      </c>
      <c r="BA7" s="379">
        <f t="shared" si="1"/>
        <v>189309545.63000003</v>
      </c>
    </row>
    <row r="8" spans="1:53" s="41" customFormat="1" ht="14.25">
      <c r="A8" s="390" t="s">
        <v>115</v>
      </c>
      <c r="B8" s="526"/>
      <c r="C8" s="219"/>
      <c r="D8" s="402"/>
      <c r="E8" s="388"/>
      <c r="F8" s="388">
        <v>30623</v>
      </c>
      <c r="G8" s="388">
        <v>44050</v>
      </c>
      <c r="H8" s="388"/>
      <c r="I8" s="388"/>
      <c r="J8" s="388">
        <v>28197.24</v>
      </c>
      <c r="K8" s="388">
        <v>20183.98</v>
      </c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>
        <v>258724.79</v>
      </c>
      <c r="Y8" s="388">
        <v>194249.64</v>
      </c>
      <c r="Z8" s="388"/>
      <c r="AA8" s="388"/>
      <c r="AB8" s="388">
        <v>38799</v>
      </c>
      <c r="AC8" s="388">
        <v>36489</v>
      </c>
      <c r="AD8" s="388">
        <v>251042</v>
      </c>
      <c r="AE8" s="388">
        <v>212403</v>
      </c>
      <c r="AF8" s="388"/>
      <c r="AG8" s="388"/>
      <c r="AH8" s="388"/>
      <c r="AI8" s="388"/>
      <c r="AJ8" s="388"/>
      <c r="AK8" s="388"/>
      <c r="AL8" s="388"/>
      <c r="AM8" s="392"/>
      <c r="AN8" s="392"/>
      <c r="AO8" s="278"/>
      <c r="AP8" s="278"/>
      <c r="AQ8" s="387"/>
      <c r="AR8" s="387">
        <v>29375</v>
      </c>
      <c r="AS8" s="290">
        <v>12792</v>
      </c>
      <c r="AT8" s="290"/>
      <c r="AU8" s="388"/>
      <c r="AV8" s="378">
        <f t="shared" si="0"/>
        <v>636761.03</v>
      </c>
      <c r="AW8" s="380">
        <f t="shared" si="0"/>
        <v>520167.62</v>
      </c>
      <c r="AX8" s="380"/>
      <c r="AY8" s="371"/>
      <c r="AZ8" s="384">
        <f t="shared" si="1"/>
        <v>636761.03</v>
      </c>
      <c r="BA8" s="379">
        <f t="shared" si="1"/>
        <v>520167.62</v>
      </c>
    </row>
    <row r="9" spans="1:53" s="41" customFormat="1" ht="14.25">
      <c r="A9" s="1310" t="s">
        <v>235</v>
      </c>
      <c r="B9" s="525">
        <v>2518</v>
      </c>
      <c r="C9" s="219">
        <v>-32522</v>
      </c>
      <c r="D9" s="402">
        <v>25237</v>
      </c>
      <c r="E9" s="388"/>
      <c r="F9" s="388">
        <v>6225</v>
      </c>
      <c r="G9" s="388">
        <v>-653</v>
      </c>
      <c r="H9" s="388">
        <v>94510</v>
      </c>
      <c r="I9" s="388">
        <v>89230</v>
      </c>
      <c r="J9" s="388">
        <v>18934.97</v>
      </c>
      <c r="K9" s="388">
        <v>21120.56</v>
      </c>
      <c r="L9" s="388">
        <v>53549</v>
      </c>
      <c r="M9" s="388">
        <v>20939</v>
      </c>
      <c r="N9" s="388">
        <v>776519</v>
      </c>
      <c r="O9" s="388">
        <v>737664</v>
      </c>
      <c r="P9" s="388">
        <v>3111</v>
      </c>
      <c r="Q9" s="388">
        <v>404142</v>
      </c>
      <c r="R9" s="388">
        <v>39394</v>
      </c>
      <c r="S9" s="388">
        <v>23251</v>
      </c>
      <c r="T9" s="388"/>
      <c r="U9" s="388"/>
      <c r="V9" s="388">
        <v>66018</v>
      </c>
      <c r="W9" s="388">
        <v>60691</v>
      </c>
      <c r="X9" s="388">
        <v>132330.17</v>
      </c>
      <c r="Y9" s="388">
        <v>97065.6</v>
      </c>
      <c r="Z9" s="388">
        <v>30670</v>
      </c>
      <c r="AA9" s="388">
        <v>19482</v>
      </c>
      <c r="AB9" s="388">
        <v>11347</v>
      </c>
      <c r="AC9" s="388">
        <v>5492</v>
      </c>
      <c r="AD9" s="388">
        <v>28150</v>
      </c>
      <c r="AE9" s="388">
        <v>23178</v>
      </c>
      <c r="AF9" s="388">
        <v>346849</v>
      </c>
      <c r="AG9" s="388">
        <v>262347</v>
      </c>
      <c r="AH9" s="388"/>
      <c r="AI9" s="388">
        <v>37876</v>
      </c>
      <c r="AJ9" s="388">
        <v>35715</v>
      </c>
      <c r="AK9" s="388">
        <v>-8704</v>
      </c>
      <c r="AL9" s="388"/>
      <c r="AM9" s="392"/>
      <c r="AN9" s="1317">
        <v>6970519</v>
      </c>
      <c r="AO9" s="390">
        <v>-91048.8</v>
      </c>
      <c r="AP9" s="390">
        <v>347070</v>
      </c>
      <c r="AQ9" s="387">
        <v>-146068</v>
      </c>
      <c r="AR9" s="387">
        <v>22949</v>
      </c>
      <c r="AS9" s="290">
        <v>19008</v>
      </c>
      <c r="AT9" s="290">
        <v>91605</v>
      </c>
      <c r="AU9" s="388">
        <v>57731</v>
      </c>
      <c r="AV9" s="378">
        <f t="shared" si="0"/>
        <v>9103220.14</v>
      </c>
      <c r="AW9" s="380">
        <f t="shared" si="0"/>
        <v>1600221.36</v>
      </c>
      <c r="AX9" s="380"/>
      <c r="AY9" s="371"/>
      <c r="AZ9" s="384">
        <f t="shared" si="1"/>
        <v>9103220.14</v>
      </c>
      <c r="BA9" s="379">
        <f t="shared" si="1"/>
        <v>1600221.36</v>
      </c>
    </row>
    <row r="10" spans="1:53" s="41" customFormat="1" ht="14.25">
      <c r="A10" s="390" t="s">
        <v>116</v>
      </c>
      <c r="B10" s="526">
        <v>245366</v>
      </c>
      <c r="C10" s="219">
        <v>239689</v>
      </c>
      <c r="D10" s="402">
        <v>12782</v>
      </c>
      <c r="E10" s="388"/>
      <c r="F10" s="388">
        <v>61771</v>
      </c>
      <c r="G10" s="388">
        <v>65061</v>
      </c>
      <c r="H10" s="388">
        <v>1025478</v>
      </c>
      <c r="I10" s="388">
        <v>964603</v>
      </c>
      <c r="J10" s="388">
        <v>62352.23</v>
      </c>
      <c r="K10" s="388">
        <v>44155.16</v>
      </c>
      <c r="L10" s="388">
        <v>126034</v>
      </c>
      <c r="M10" s="388">
        <v>118119</v>
      </c>
      <c r="N10" s="388">
        <v>7964279</v>
      </c>
      <c r="O10" s="388">
        <v>6288066</v>
      </c>
      <c r="P10" s="388">
        <v>30437</v>
      </c>
      <c r="Q10" s="388">
        <v>2638795</v>
      </c>
      <c r="R10" s="388">
        <v>110783</v>
      </c>
      <c r="S10" s="388">
        <v>104807</v>
      </c>
      <c r="T10" s="388"/>
      <c r="U10" s="388"/>
      <c r="V10" s="388">
        <v>877102</v>
      </c>
      <c r="W10" s="388">
        <v>647261</v>
      </c>
      <c r="X10" s="388">
        <v>1036616.03</v>
      </c>
      <c r="Y10" s="388">
        <v>811637.78</v>
      </c>
      <c r="Z10" s="388">
        <v>79859</v>
      </c>
      <c r="AA10" s="399">
        <v>66032</v>
      </c>
      <c r="AB10" s="399">
        <v>96963</v>
      </c>
      <c r="AC10" s="388">
        <v>92485</v>
      </c>
      <c r="AD10" s="388">
        <v>404729</v>
      </c>
      <c r="AE10" s="388">
        <v>335354</v>
      </c>
      <c r="AF10" s="388">
        <v>535745</v>
      </c>
      <c r="AG10" s="388">
        <v>439920</v>
      </c>
      <c r="AH10" s="388"/>
      <c r="AI10" s="388">
        <v>127735</v>
      </c>
      <c r="AJ10" s="388">
        <v>132858</v>
      </c>
      <c r="AK10" s="388">
        <v>122192</v>
      </c>
      <c r="AL10" s="388"/>
      <c r="AM10" s="392"/>
      <c r="AN10" s="1317">
        <v>99808808</v>
      </c>
      <c r="AO10" s="390">
        <v>862332.24</v>
      </c>
      <c r="AP10" s="390">
        <v>4901528</v>
      </c>
      <c r="AQ10" s="387">
        <v>4374662</v>
      </c>
      <c r="AR10" s="387">
        <v>69672</v>
      </c>
      <c r="AS10" s="290">
        <v>59953</v>
      </c>
      <c r="AT10" s="290">
        <v>216074</v>
      </c>
      <c r="AU10" s="388">
        <v>211363</v>
      </c>
      <c r="AV10" s="378">
        <f t="shared" si="0"/>
        <v>117799236.26</v>
      </c>
      <c r="AW10" s="380">
        <f t="shared" si="0"/>
        <v>18614222.18</v>
      </c>
      <c r="AX10" s="380"/>
      <c r="AY10" s="354"/>
      <c r="AZ10" s="384">
        <f t="shared" si="1"/>
        <v>117799236.26</v>
      </c>
      <c r="BA10" s="379">
        <f t="shared" si="1"/>
        <v>18614222.18</v>
      </c>
    </row>
    <row r="11" spans="1:53" s="41" customFormat="1" ht="14.25">
      <c r="A11" s="390" t="s">
        <v>113</v>
      </c>
      <c r="B11" s="526"/>
      <c r="C11" s="219"/>
      <c r="D11" s="402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99"/>
      <c r="AB11" s="399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92"/>
      <c r="AN11" s="392"/>
      <c r="AO11" s="278"/>
      <c r="AP11" s="278"/>
      <c r="AQ11" s="387"/>
      <c r="AR11" s="387"/>
      <c r="AS11" s="290"/>
      <c r="AT11" s="290"/>
      <c r="AU11" s="388"/>
      <c r="AV11" s="378">
        <f t="shared" si="0"/>
        <v>0</v>
      </c>
      <c r="AW11" s="380">
        <f t="shared" si="0"/>
        <v>0</v>
      </c>
      <c r="AX11" s="380"/>
      <c r="AY11" s="354"/>
      <c r="AZ11" s="384">
        <f t="shared" si="1"/>
        <v>0</v>
      </c>
      <c r="BA11" s="379">
        <f t="shared" si="1"/>
        <v>0</v>
      </c>
    </row>
    <row r="12" spans="1:53" s="41" customFormat="1" ht="14.25">
      <c r="A12" s="390" t="s">
        <v>117</v>
      </c>
      <c r="B12" s="526"/>
      <c r="C12" s="219"/>
      <c r="D12" s="402"/>
      <c r="E12" s="388"/>
      <c r="F12" s="388">
        <v>298</v>
      </c>
      <c r="G12" s="388">
        <v>82</v>
      </c>
      <c r="H12" s="388">
        <v>30270</v>
      </c>
      <c r="I12" s="388">
        <v>27948</v>
      </c>
      <c r="J12" s="388">
        <v>23000.46</v>
      </c>
      <c r="K12" s="388">
        <v>15001.33</v>
      </c>
      <c r="L12" s="388"/>
      <c r="M12" s="388"/>
      <c r="N12" s="388"/>
      <c r="O12" s="388"/>
      <c r="P12" s="388"/>
      <c r="Q12" s="388"/>
      <c r="R12" s="388"/>
      <c r="S12" s="388"/>
      <c r="T12" s="388">
        <v>26639</v>
      </c>
      <c r="U12" s="388">
        <v>20117</v>
      </c>
      <c r="V12" s="388"/>
      <c r="W12" s="388"/>
      <c r="X12" s="388">
        <v>114194.74</v>
      </c>
      <c r="Y12" s="388">
        <v>138788.97</v>
      </c>
      <c r="Z12" s="388"/>
      <c r="AA12" s="399"/>
      <c r="AB12" s="399">
        <v>13676</v>
      </c>
      <c r="AC12" s="388">
        <v>16391</v>
      </c>
      <c r="AD12" s="388">
        <v>229</v>
      </c>
      <c r="AE12" s="388">
        <v>26</v>
      </c>
      <c r="AF12" s="388">
        <v>295136</v>
      </c>
      <c r="AG12" s="388">
        <v>202761</v>
      </c>
      <c r="AH12" s="388"/>
      <c r="AI12" s="388"/>
      <c r="AJ12" s="353"/>
      <c r="AK12" s="353"/>
      <c r="AL12" s="353"/>
      <c r="AM12" s="392"/>
      <c r="AN12" s="392"/>
      <c r="AO12" s="278"/>
      <c r="AP12" s="278"/>
      <c r="AQ12" s="387"/>
      <c r="AR12" s="387">
        <v>104</v>
      </c>
      <c r="AS12" s="290">
        <v>1</v>
      </c>
      <c r="AT12" s="290"/>
      <c r="AU12" s="388"/>
      <c r="AV12" s="378">
        <f t="shared" si="0"/>
        <v>503547.2</v>
      </c>
      <c r="AW12" s="380">
        <f>SUM(C12+E12+G12+I12+K12+M12+O12+Q12+S12+U12+W12+Y12+AA12+AC12+AE12+AG12+AI12+AK13+AM12+AO12+AQ12+AS12+AU12)</f>
        <v>543308.3</v>
      </c>
      <c r="AX12" s="380"/>
      <c r="AY12" s="354"/>
      <c r="AZ12" s="384">
        <f t="shared" si="1"/>
        <v>503547.2</v>
      </c>
      <c r="BA12" s="379">
        <f t="shared" si="1"/>
        <v>543308.3</v>
      </c>
    </row>
    <row r="13" spans="1:53" s="41" customFormat="1" ht="14.25">
      <c r="A13" s="1310" t="s">
        <v>236</v>
      </c>
      <c r="B13" s="525">
        <v>245366</v>
      </c>
      <c r="C13" s="219">
        <v>239689</v>
      </c>
      <c r="D13" s="402">
        <v>12782</v>
      </c>
      <c r="E13" s="388">
        <v>19564</v>
      </c>
      <c r="F13" s="388">
        <v>61473</v>
      </c>
      <c r="G13" s="388">
        <v>64979</v>
      </c>
      <c r="H13" s="388">
        <v>995208</v>
      </c>
      <c r="I13" s="388">
        <v>936655</v>
      </c>
      <c r="J13" s="388">
        <v>39351.77</v>
      </c>
      <c r="K13" s="388">
        <v>29153.83</v>
      </c>
      <c r="L13" s="388">
        <v>126034</v>
      </c>
      <c r="M13" s="388">
        <v>118119</v>
      </c>
      <c r="N13" s="388">
        <v>7964279</v>
      </c>
      <c r="O13" s="388">
        <v>6188066</v>
      </c>
      <c r="P13" s="388">
        <v>30437</v>
      </c>
      <c r="Q13" s="388">
        <v>2638795</v>
      </c>
      <c r="R13" s="388">
        <v>110783</v>
      </c>
      <c r="S13" s="388">
        <v>104807</v>
      </c>
      <c r="T13" s="388">
        <v>11792</v>
      </c>
      <c r="U13" s="388">
        <v>9809</v>
      </c>
      <c r="V13" s="388">
        <v>877102</v>
      </c>
      <c r="W13" s="388">
        <v>647261</v>
      </c>
      <c r="X13" s="388">
        <v>922421.29</v>
      </c>
      <c r="Y13" s="388">
        <v>672848.81</v>
      </c>
      <c r="Z13" s="388">
        <v>79859</v>
      </c>
      <c r="AA13" s="399">
        <v>66032</v>
      </c>
      <c r="AB13" s="399">
        <v>83286</v>
      </c>
      <c r="AC13" s="388">
        <v>76094</v>
      </c>
      <c r="AD13" s="388">
        <v>404499</v>
      </c>
      <c r="AE13" s="388">
        <v>335328</v>
      </c>
      <c r="AF13" s="388">
        <v>240609</v>
      </c>
      <c r="AG13" s="388">
        <v>237159</v>
      </c>
      <c r="AH13" s="388"/>
      <c r="AI13" s="388">
        <v>127735</v>
      </c>
      <c r="AJ13" s="388">
        <v>132858</v>
      </c>
      <c r="AK13" s="388">
        <v>122192</v>
      </c>
      <c r="AL13" s="388"/>
      <c r="AM13" s="392"/>
      <c r="AN13" s="1317">
        <v>99808808</v>
      </c>
      <c r="AO13" s="390">
        <v>862332.24</v>
      </c>
      <c r="AP13" s="390">
        <v>4901528</v>
      </c>
      <c r="AQ13" s="387">
        <v>4374662</v>
      </c>
      <c r="AR13" s="387">
        <v>69568</v>
      </c>
      <c r="AS13" s="290">
        <v>59952</v>
      </c>
      <c r="AT13" s="290">
        <v>216074</v>
      </c>
      <c r="AU13" s="388">
        <v>211363</v>
      </c>
      <c r="AV13" s="378">
        <f t="shared" si="0"/>
        <v>117334118.06</v>
      </c>
      <c r="AW13" s="380">
        <f>SUM(C13+E13+G13+I13+K13+M13+O13+Q13+S13+U13+W13+Y13+AA13+AC13+AE13+AG13+AI13+AK13+AM13+AO13+AQ13+AS13+AU13)</f>
        <v>18142595.880000003</v>
      </c>
      <c r="AX13" s="380"/>
      <c r="AY13" s="371"/>
      <c r="AZ13" s="384">
        <f t="shared" si="1"/>
        <v>117334118.06</v>
      </c>
      <c r="BA13" s="379">
        <f t="shared" si="1"/>
        <v>18142595.880000003</v>
      </c>
    </row>
    <row r="14" spans="1:53" s="41" customFormat="1" ht="14.25">
      <c r="A14" s="390" t="s">
        <v>118</v>
      </c>
      <c r="B14" s="526">
        <v>247884</v>
      </c>
      <c r="C14" s="1312">
        <f>C9+C10</f>
        <v>207167</v>
      </c>
      <c r="D14" s="388">
        <v>38019</v>
      </c>
      <c r="E14" s="388">
        <v>36061</v>
      </c>
      <c r="F14" s="388">
        <v>67698</v>
      </c>
      <c r="G14" s="388">
        <v>64327</v>
      </c>
      <c r="H14" s="388">
        <v>1089718</v>
      </c>
      <c r="I14" s="388">
        <v>1025885</v>
      </c>
      <c r="J14" s="388">
        <v>58286.74</v>
      </c>
      <c r="K14" s="388">
        <v>50274.39</v>
      </c>
      <c r="L14" s="388">
        <v>179582</v>
      </c>
      <c r="M14" s="388">
        <f>M9+M10</f>
        <v>139058</v>
      </c>
      <c r="N14" s="388">
        <v>8740798</v>
      </c>
      <c r="O14" s="388">
        <v>6925729</v>
      </c>
      <c r="P14" s="388">
        <v>33548</v>
      </c>
      <c r="Q14" s="388">
        <f>Q9+Q10</f>
        <v>3042937</v>
      </c>
      <c r="R14" s="388">
        <v>150177</v>
      </c>
      <c r="S14" s="388">
        <f>S9+S10</f>
        <v>128058</v>
      </c>
      <c r="T14" s="388">
        <v>38432</v>
      </c>
      <c r="U14" s="388">
        <v>29926</v>
      </c>
      <c r="V14" s="388">
        <v>943120</v>
      </c>
      <c r="W14" s="388">
        <f>W9+W10</f>
        <v>707952</v>
      </c>
      <c r="X14" s="388">
        <v>1054751.46</v>
      </c>
      <c r="Y14" s="388">
        <v>769914.41</v>
      </c>
      <c r="Z14" s="388">
        <v>110529</v>
      </c>
      <c r="AA14" s="388">
        <f>AA9+AA10</f>
        <v>85514</v>
      </c>
      <c r="AB14" s="388">
        <v>94633</v>
      </c>
      <c r="AC14" s="388">
        <v>81585</v>
      </c>
      <c r="AD14" s="388">
        <v>432649</v>
      </c>
      <c r="AE14" s="388">
        <v>358506</v>
      </c>
      <c r="AF14" s="388">
        <v>587458</v>
      </c>
      <c r="AG14" s="388">
        <v>499506</v>
      </c>
      <c r="AH14" s="388"/>
      <c r="AI14" s="388">
        <f aca="true" t="shared" si="2" ref="AI14:AU14">AI9+AI10</f>
        <v>165611</v>
      </c>
      <c r="AJ14" s="388">
        <v>168573</v>
      </c>
      <c r="AK14" s="388">
        <f t="shared" si="2"/>
        <v>113488</v>
      </c>
      <c r="AL14" s="388"/>
      <c r="AM14" s="388">
        <f t="shared" si="2"/>
        <v>0</v>
      </c>
      <c r="AN14" s="388">
        <v>106779327</v>
      </c>
      <c r="AO14" s="388">
        <f t="shared" si="2"/>
        <v>771283.44</v>
      </c>
      <c r="AP14" s="388">
        <v>5248598</v>
      </c>
      <c r="AQ14" s="388">
        <f t="shared" si="2"/>
        <v>4228594</v>
      </c>
      <c r="AR14" s="388">
        <v>92517</v>
      </c>
      <c r="AS14" s="388">
        <f t="shared" si="2"/>
        <v>78961</v>
      </c>
      <c r="AT14" s="388">
        <v>307679</v>
      </c>
      <c r="AU14" s="388">
        <f t="shared" si="2"/>
        <v>269094</v>
      </c>
      <c r="AV14" s="378">
        <f t="shared" si="0"/>
        <v>126463977.2</v>
      </c>
      <c r="AW14" s="380">
        <f>SUM(C14+E14+G14+I14+K14+M14+O14+Q14+S14+U14+W14+Y14+AA14+AC14+AE14+AG14+AI14+AK14+AM14+AO14+AQ14+AS14+AU14)</f>
        <v>19779431.240000002</v>
      </c>
      <c r="AX14" s="380"/>
      <c r="AY14" s="354"/>
      <c r="AZ14" s="384">
        <f t="shared" si="1"/>
        <v>126463977.2</v>
      </c>
      <c r="BA14" s="379">
        <f t="shared" si="1"/>
        <v>19779431.240000002</v>
      </c>
    </row>
    <row r="15" spans="1:53" s="41" customFormat="1" ht="15" thickBot="1">
      <c r="A15" s="390" t="s">
        <v>119</v>
      </c>
      <c r="B15" s="527">
        <v>137753</v>
      </c>
      <c r="C15" s="1313">
        <v>116124</v>
      </c>
      <c r="D15" s="404">
        <v>15801</v>
      </c>
      <c r="E15" s="396">
        <v>15283</v>
      </c>
      <c r="F15" s="396">
        <v>30208</v>
      </c>
      <c r="G15" s="396">
        <v>26564</v>
      </c>
      <c r="H15" s="396">
        <v>163647</v>
      </c>
      <c r="I15" s="396">
        <v>137674</v>
      </c>
      <c r="J15" s="396">
        <v>32743.22</v>
      </c>
      <c r="K15" s="396">
        <v>27082.91</v>
      </c>
      <c r="L15" s="396">
        <v>54909</v>
      </c>
      <c r="M15" s="396">
        <v>38100</v>
      </c>
      <c r="N15" s="396">
        <v>1977830</v>
      </c>
      <c r="O15" s="396">
        <v>1980811</v>
      </c>
      <c r="P15" s="396">
        <v>15617</v>
      </c>
      <c r="Q15" s="396">
        <v>1311835</v>
      </c>
      <c r="R15" s="396">
        <v>67624</v>
      </c>
      <c r="S15" s="396">
        <v>60866</v>
      </c>
      <c r="T15" s="396">
        <v>18955</v>
      </c>
      <c r="U15" s="396">
        <v>18764</v>
      </c>
      <c r="V15" s="396">
        <v>943120</v>
      </c>
      <c r="W15" s="396">
        <v>384610</v>
      </c>
      <c r="X15" s="396">
        <v>486527.16</v>
      </c>
      <c r="Y15" s="396">
        <v>396670.18</v>
      </c>
      <c r="Z15" s="396">
        <v>32551</v>
      </c>
      <c r="AA15" s="400">
        <v>28693</v>
      </c>
      <c r="AB15" s="400">
        <v>52210</v>
      </c>
      <c r="AC15" s="396">
        <v>47365</v>
      </c>
      <c r="AD15" s="396">
        <v>149128</v>
      </c>
      <c r="AE15" s="396">
        <v>123666</v>
      </c>
      <c r="AF15" s="396">
        <v>290488</v>
      </c>
      <c r="AG15" s="396">
        <v>241130</v>
      </c>
      <c r="AH15" s="396"/>
      <c r="AI15" s="396">
        <v>87574</v>
      </c>
      <c r="AJ15" s="396">
        <v>68763</v>
      </c>
      <c r="AK15" s="396">
        <v>61599</v>
      </c>
      <c r="AL15" s="396"/>
      <c r="AM15" s="393"/>
      <c r="AN15" s="1317">
        <v>49738777</v>
      </c>
      <c r="AO15" s="390">
        <v>394863.44</v>
      </c>
      <c r="AP15" s="390">
        <v>2916659</v>
      </c>
      <c r="AQ15" s="389">
        <v>2378286</v>
      </c>
      <c r="AR15" s="389">
        <v>44899</v>
      </c>
      <c r="AS15" s="385">
        <v>32948</v>
      </c>
      <c r="AT15" s="385">
        <v>150527</v>
      </c>
      <c r="AU15" s="396">
        <v>114585</v>
      </c>
      <c r="AV15" s="1424">
        <f t="shared" si="0"/>
        <v>57388736.38</v>
      </c>
      <c r="AW15" s="381">
        <f>SUM(C15+E15+G15+I15+K15+M15+O15+Q15+S15+U15+W15+Y15+AA15+AC15+AE15+AG15+AI15+AK15+AM15+AO15+AQ15+AS15+AU15)</f>
        <v>8025093.53</v>
      </c>
      <c r="AX15" s="381"/>
      <c r="AY15" s="383"/>
      <c r="AZ15" s="1426">
        <f t="shared" si="1"/>
        <v>57388736.38</v>
      </c>
      <c r="BA15" s="406">
        <f t="shared" si="1"/>
        <v>8025093.53</v>
      </c>
    </row>
    <row r="16" spans="1:53" s="598" customFormat="1" ht="15" thickBot="1">
      <c r="A16" s="590" t="s">
        <v>120</v>
      </c>
      <c r="B16" s="1315">
        <v>1.8</v>
      </c>
      <c r="C16" s="591">
        <v>1.78</v>
      </c>
      <c r="D16" s="591">
        <v>2.41</v>
      </c>
      <c r="E16" s="592">
        <v>2.36</v>
      </c>
      <c r="F16" s="592">
        <v>2.24</v>
      </c>
      <c r="G16" s="592">
        <v>2.42</v>
      </c>
      <c r="H16" s="592">
        <v>6.66</v>
      </c>
      <c r="I16" s="592">
        <v>7.45</v>
      </c>
      <c r="J16" s="592">
        <v>1.78</v>
      </c>
      <c r="K16" s="592">
        <v>1.86</v>
      </c>
      <c r="L16" s="592">
        <v>327</v>
      </c>
      <c r="M16" s="592">
        <v>365</v>
      </c>
      <c r="N16" s="592">
        <v>442</v>
      </c>
      <c r="O16" s="592">
        <v>350</v>
      </c>
      <c r="P16" s="592">
        <v>215</v>
      </c>
      <c r="Q16" s="592">
        <v>232</v>
      </c>
      <c r="R16" s="592">
        <v>222</v>
      </c>
      <c r="S16" s="592">
        <v>210</v>
      </c>
      <c r="T16" s="592">
        <v>2.03</v>
      </c>
      <c r="U16" s="592">
        <v>1.59</v>
      </c>
      <c r="V16" s="592">
        <v>201</v>
      </c>
      <c r="W16" s="592">
        <v>184</v>
      </c>
      <c r="X16" s="592">
        <v>216.8</v>
      </c>
      <c r="Y16" s="592">
        <v>194.09</v>
      </c>
      <c r="Z16" s="592">
        <v>340</v>
      </c>
      <c r="AA16" s="593">
        <v>298</v>
      </c>
      <c r="AB16" s="593">
        <v>181</v>
      </c>
      <c r="AC16" s="592">
        <v>172</v>
      </c>
      <c r="AD16" s="592">
        <v>2.9</v>
      </c>
      <c r="AE16" s="592">
        <v>2.9</v>
      </c>
      <c r="AF16" s="592">
        <v>2.02</v>
      </c>
      <c r="AG16" s="592">
        <v>2.07</v>
      </c>
      <c r="AH16" s="592"/>
      <c r="AI16" s="592">
        <v>1.89</v>
      </c>
      <c r="AJ16" s="592">
        <v>2.45</v>
      </c>
      <c r="AK16" s="592">
        <v>1.84</v>
      </c>
      <c r="AL16" s="592"/>
      <c r="AM16" s="594"/>
      <c r="AN16" s="594">
        <v>2.15</v>
      </c>
      <c r="AO16" s="592">
        <v>1.95</v>
      </c>
      <c r="AP16" s="592">
        <v>1.8</v>
      </c>
      <c r="AQ16" s="595">
        <v>1.78</v>
      </c>
      <c r="AR16" s="595">
        <v>2.06</v>
      </c>
      <c r="AS16" s="596">
        <v>2.4</v>
      </c>
      <c r="AT16" s="596">
        <v>204</v>
      </c>
      <c r="AU16" s="592">
        <v>235</v>
      </c>
      <c r="AV16" s="1425"/>
      <c r="AW16" s="597"/>
      <c r="AX16" s="597"/>
      <c r="AY16" s="597"/>
      <c r="AZ16" s="1427"/>
      <c r="BA16" s="590"/>
    </row>
  </sheetData>
  <sheetProtection/>
  <mergeCells count="28">
    <mergeCell ref="AN3:AO3"/>
    <mergeCell ref="AH3:AI3"/>
    <mergeCell ref="AF3:AG3"/>
    <mergeCell ref="AZ3:BA3"/>
    <mergeCell ref="AX3:AY3"/>
    <mergeCell ref="AV3:AW3"/>
    <mergeCell ref="AT3:AU3"/>
    <mergeCell ref="AR3:AS3"/>
    <mergeCell ref="AP3:AQ3"/>
    <mergeCell ref="AL3:AM3"/>
    <mergeCell ref="AJ3:AK3"/>
    <mergeCell ref="N3:O3"/>
    <mergeCell ref="L3:M3"/>
    <mergeCell ref="R3:S3"/>
    <mergeCell ref="T3:U3"/>
    <mergeCell ref="V3:W3"/>
    <mergeCell ref="X3:Y3"/>
    <mergeCell ref="AD3:AE3"/>
    <mergeCell ref="J3:K3"/>
    <mergeCell ref="H3:I3"/>
    <mergeCell ref="Z3:AA3"/>
    <mergeCell ref="AB3:AC3"/>
    <mergeCell ref="A1:BA1"/>
    <mergeCell ref="A2:BA2"/>
    <mergeCell ref="B3:C3"/>
    <mergeCell ref="D3:E3"/>
    <mergeCell ref="F3:G3"/>
    <mergeCell ref="P3:Q3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DQ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G20" sqref="G20"/>
    </sheetView>
  </sheetViews>
  <sheetFormatPr defaultColWidth="9.140625" defaultRowHeight="15"/>
  <cols>
    <col min="1" max="1" width="43.8515625" style="11" customWidth="1"/>
    <col min="2" max="2" width="16.28125" style="11" bestFit="1" customWidth="1"/>
    <col min="3" max="3" width="9.7109375" style="11" bestFit="1" customWidth="1"/>
    <col min="4" max="4" width="19.57421875" style="11" bestFit="1" customWidth="1"/>
    <col min="5" max="5" width="13.8515625" style="11" bestFit="1" customWidth="1"/>
    <col min="6" max="6" width="12.7109375" style="11" bestFit="1" customWidth="1"/>
    <col min="7" max="7" width="17.8515625" style="11" bestFit="1" customWidth="1"/>
    <col min="8" max="8" width="5.57421875" style="11" bestFit="1" customWidth="1"/>
    <col min="9" max="9" width="21.7109375" style="11" bestFit="1" customWidth="1"/>
    <col min="10" max="10" width="15.57421875" style="11" bestFit="1" customWidth="1"/>
    <col min="11" max="11" width="6.57421875" style="11" customWidth="1"/>
    <col min="12" max="12" width="16.28125" style="11" bestFit="1" customWidth="1"/>
    <col min="13" max="13" width="5.140625" style="11" bestFit="1" customWidth="1"/>
    <col min="14" max="14" width="19.57421875" style="11" bestFit="1" customWidth="1"/>
    <col min="15" max="15" width="13.8515625" style="11" bestFit="1" customWidth="1"/>
    <col min="16" max="16" width="8.00390625" style="11" bestFit="1" customWidth="1"/>
    <col min="17" max="17" width="16.28125" style="11" bestFit="1" customWidth="1"/>
    <col min="18" max="18" width="5.140625" style="11" bestFit="1" customWidth="1"/>
    <col min="19" max="19" width="19.57421875" style="11" bestFit="1" customWidth="1"/>
    <col min="20" max="20" width="13.8515625" style="11" bestFit="1" customWidth="1"/>
    <col min="21" max="21" width="8.7109375" style="11" bestFit="1" customWidth="1"/>
    <col min="22" max="22" width="16.28125" style="11" bestFit="1" customWidth="1"/>
    <col min="23" max="23" width="5.140625" style="11" bestFit="1" customWidth="1"/>
    <col min="24" max="24" width="19.57421875" style="11" bestFit="1" customWidth="1"/>
    <col min="25" max="25" width="13.8515625" style="11" bestFit="1" customWidth="1"/>
    <col min="26" max="26" width="8.00390625" style="11" bestFit="1" customWidth="1"/>
    <col min="27" max="27" width="16.28125" style="11" bestFit="1" customWidth="1"/>
    <col min="28" max="28" width="5.140625" style="11" bestFit="1" customWidth="1"/>
    <col min="29" max="29" width="19.57421875" style="11" bestFit="1" customWidth="1"/>
    <col min="30" max="30" width="13.8515625" style="11" bestFit="1" customWidth="1"/>
    <col min="31" max="31" width="9.7109375" style="11" bestFit="1" customWidth="1"/>
    <col min="32" max="32" width="16.28125" style="11" bestFit="1" customWidth="1"/>
    <col min="33" max="33" width="5.140625" style="11" bestFit="1" customWidth="1"/>
    <col min="34" max="34" width="19.57421875" style="11" bestFit="1" customWidth="1"/>
    <col min="35" max="35" width="13.8515625" style="11" bestFit="1" customWidth="1"/>
    <col min="36" max="36" width="9.7109375" style="11" bestFit="1" customWidth="1"/>
    <col min="37" max="37" width="16.28125" style="11" bestFit="1" customWidth="1"/>
    <col min="38" max="38" width="5.140625" style="11" bestFit="1" customWidth="1"/>
    <col min="39" max="39" width="19.57421875" style="11" bestFit="1" customWidth="1"/>
    <col min="40" max="40" width="13.8515625" style="11" bestFit="1" customWidth="1"/>
    <col min="41" max="41" width="9.7109375" style="11" bestFit="1" customWidth="1"/>
    <col min="42" max="42" width="16.28125" style="11" bestFit="1" customWidth="1"/>
    <col min="43" max="43" width="6.00390625" style="11" bestFit="1" customWidth="1"/>
    <col min="44" max="44" width="19.57421875" style="11" bestFit="1" customWidth="1"/>
    <col min="45" max="45" width="13.8515625" style="11" bestFit="1" customWidth="1"/>
    <col min="46" max="46" width="8.00390625" style="11" bestFit="1" customWidth="1"/>
    <col min="47" max="47" width="16.28125" style="11" bestFit="1" customWidth="1"/>
    <col min="48" max="48" width="5.140625" style="11" bestFit="1" customWidth="1"/>
    <col min="49" max="49" width="19.57421875" style="11" bestFit="1" customWidth="1"/>
    <col min="50" max="50" width="13.8515625" style="11" bestFit="1" customWidth="1"/>
    <col min="51" max="51" width="8.00390625" style="11" bestFit="1" customWidth="1"/>
    <col min="52" max="52" width="16.28125" style="11" bestFit="1" customWidth="1"/>
    <col min="53" max="53" width="5.140625" style="11" bestFit="1" customWidth="1"/>
    <col min="54" max="54" width="19.57421875" style="11" bestFit="1" customWidth="1"/>
    <col min="55" max="55" width="13.8515625" style="11" bestFit="1" customWidth="1"/>
    <col min="56" max="56" width="11.00390625" style="11" bestFit="1" customWidth="1"/>
    <col min="57" max="57" width="16.28125" style="11" bestFit="1" customWidth="1"/>
    <col min="58" max="58" width="8.7109375" style="11" bestFit="1" customWidth="1"/>
    <col min="59" max="59" width="19.57421875" style="11" bestFit="1" customWidth="1"/>
    <col min="60" max="60" width="13.8515625" style="11" bestFit="1" customWidth="1"/>
    <col min="61" max="61" width="10.7109375" style="11" bestFit="1" customWidth="1"/>
    <col min="62" max="62" width="16.28125" style="11" bestFit="1" customWidth="1"/>
    <col min="63" max="63" width="7.00390625" style="11" bestFit="1" customWidth="1"/>
    <col min="64" max="64" width="19.57421875" style="11" bestFit="1" customWidth="1"/>
    <col min="65" max="65" width="13.8515625" style="11" bestFit="1" customWidth="1"/>
    <col min="66" max="66" width="10.00390625" style="11" bestFit="1" customWidth="1"/>
    <col min="67" max="67" width="16.28125" style="11" bestFit="1" customWidth="1"/>
    <col min="68" max="68" width="5.140625" style="11" bestFit="1" customWidth="1"/>
    <col min="69" max="69" width="19.57421875" style="11" bestFit="1" customWidth="1"/>
    <col min="70" max="70" width="13.8515625" style="11" bestFit="1" customWidth="1"/>
    <col min="71" max="71" width="9.7109375" style="11" bestFit="1" customWidth="1"/>
    <col min="72" max="72" width="16.28125" style="11" bestFit="1" customWidth="1"/>
    <col min="73" max="73" width="5.140625" style="11" bestFit="1" customWidth="1"/>
    <col min="74" max="74" width="19.57421875" style="11" bestFit="1" customWidth="1"/>
    <col min="75" max="75" width="13.8515625" style="11" bestFit="1" customWidth="1"/>
    <col min="76" max="76" width="8.7109375" style="11" bestFit="1" customWidth="1"/>
    <col min="77" max="77" width="16.28125" style="11" bestFit="1" customWidth="1"/>
    <col min="78" max="78" width="5.140625" style="11" bestFit="1" customWidth="1"/>
    <col min="79" max="79" width="19.57421875" style="11" bestFit="1" customWidth="1"/>
    <col min="80" max="80" width="13.8515625" style="11" bestFit="1" customWidth="1"/>
    <col min="81" max="81" width="8.7109375" style="11" bestFit="1" customWidth="1"/>
    <col min="82" max="82" width="16.28125" style="11" bestFit="1" customWidth="1"/>
    <col min="83" max="83" width="5.140625" style="11" bestFit="1" customWidth="1"/>
    <col min="84" max="84" width="19.57421875" style="11" bestFit="1" customWidth="1"/>
    <col min="85" max="85" width="13.8515625" style="11" bestFit="1" customWidth="1"/>
    <col min="86" max="86" width="6.28125" style="11" bestFit="1" customWidth="1"/>
    <col min="87" max="87" width="16.28125" style="11" bestFit="1" customWidth="1"/>
    <col min="88" max="88" width="5.140625" style="11" bestFit="1" customWidth="1"/>
    <col min="89" max="89" width="19.57421875" style="11" bestFit="1" customWidth="1"/>
    <col min="90" max="90" width="13.8515625" style="11" bestFit="1" customWidth="1"/>
    <col min="91" max="91" width="10.7109375" style="11" bestFit="1" customWidth="1"/>
    <col min="92" max="92" width="16.28125" style="11" bestFit="1" customWidth="1"/>
    <col min="93" max="93" width="5.140625" style="11" bestFit="1" customWidth="1"/>
    <col min="94" max="94" width="19.57421875" style="11" bestFit="1" customWidth="1"/>
    <col min="95" max="95" width="13.8515625" style="11" bestFit="1" customWidth="1"/>
    <col min="96" max="96" width="6.28125" style="11" bestFit="1" customWidth="1"/>
    <col min="97" max="97" width="16.28125" style="11" bestFit="1" customWidth="1"/>
    <col min="98" max="98" width="8.7109375" style="11" bestFit="1" customWidth="1"/>
    <col min="99" max="99" width="19.57421875" style="11" bestFit="1" customWidth="1"/>
    <col min="100" max="100" width="13.8515625" style="11" bestFit="1" customWidth="1"/>
    <col min="101" max="101" width="10.7109375" style="11" bestFit="1" customWidth="1"/>
    <col min="102" max="102" width="16.28125" style="11" bestFit="1" customWidth="1"/>
    <col min="103" max="103" width="5.140625" style="11" bestFit="1" customWidth="1"/>
    <col min="104" max="104" width="19.57421875" style="11" bestFit="1" customWidth="1"/>
    <col min="105" max="105" width="13.8515625" style="11" bestFit="1" customWidth="1"/>
    <col min="106" max="106" width="8.00390625" style="11" bestFit="1" customWidth="1"/>
    <col min="107" max="107" width="16.28125" style="11" bestFit="1" customWidth="1"/>
    <col min="108" max="108" width="5.140625" style="11" bestFit="1" customWidth="1"/>
    <col min="109" max="109" width="19.57421875" style="11" bestFit="1" customWidth="1"/>
    <col min="110" max="110" width="13.8515625" style="11" bestFit="1" customWidth="1"/>
    <col min="111" max="111" width="8.00390625" style="11" bestFit="1" customWidth="1"/>
    <col min="112" max="112" width="16.28125" style="11" bestFit="1" customWidth="1"/>
    <col min="113" max="113" width="5.140625" style="11" bestFit="1" customWidth="1"/>
    <col min="114" max="114" width="19.57421875" style="11" bestFit="1" customWidth="1"/>
    <col min="115" max="115" width="13.8515625" style="11" bestFit="1" customWidth="1"/>
    <col min="116" max="116" width="11.00390625" style="11" bestFit="1" customWidth="1"/>
    <col min="117" max="117" width="16.28125" style="11" bestFit="1" customWidth="1"/>
    <col min="118" max="118" width="5.140625" style="11" bestFit="1" customWidth="1"/>
    <col min="119" max="119" width="19.57421875" style="11" bestFit="1" customWidth="1"/>
    <col min="120" max="120" width="13.8515625" style="11" bestFit="1" customWidth="1"/>
    <col min="121" max="121" width="6.28125" style="11" customWidth="1"/>
    <col min="122" max="16384" width="9.140625" style="11" customWidth="1"/>
  </cols>
  <sheetData>
    <row r="1" spans="1:121" ht="14.25">
      <c r="A1" s="1733" t="s">
        <v>212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  <c r="L1" s="1733"/>
      <c r="M1" s="1733"/>
      <c r="N1" s="1733"/>
      <c r="O1" s="1733"/>
      <c r="P1" s="1733"/>
      <c r="Q1" s="1733"/>
      <c r="R1" s="1733"/>
      <c r="S1" s="1733"/>
      <c r="T1" s="1733"/>
      <c r="U1" s="1733"/>
      <c r="V1" s="1733"/>
      <c r="W1" s="1733"/>
      <c r="X1" s="1733"/>
      <c r="Y1" s="1733"/>
      <c r="Z1" s="1733"/>
      <c r="AA1" s="1733"/>
      <c r="AB1" s="1733"/>
      <c r="AC1" s="1733"/>
      <c r="AD1" s="1733"/>
      <c r="AE1" s="1733"/>
      <c r="AF1" s="1733"/>
      <c r="AG1" s="1733"/>
      <c r="AH1" s="1733"/>
      <c r="AI1" s="1733"/>
      <c r="AJ1" s="1733"/>
      <c r="AK1" s="1733"/>
      <c r="AL1" s="1733"/>
      <c r="AM1" s="1733"/>
      <c r="AN1" s="1733"/>
      <c r="AO1" s="1733"/>
      <c r="AP1" s="1733"/>
      <c r="AQ1" s="1733"/>
      <c r="AR1" s="1733"/>
      <c r="AS1" s="1733"/>
      <c r="AT1" s="1733"/>
      <c r="AU1" s="1733"/>
      <c r="AV1" s="1733"/>
      <c r="AW1" s="1733"/>
      <c r="AX1" s="1733"/>
      <c r="AY1" s="1733"/>
      <c r="AZ1" s="1733"/>
      <c r="BA1" s="1733"/>
      <c r="BB1" s="1733"/>
      <c r="BC1" s="1733"/>
      <c r="BD1" s="1733"/>
      <c r="BE1" s="1733"/>
      <c r="BF1" s="1733"/>
      <c r="BG1" s="1733"/>
      <c r="BH1" s="1733"/>
      <c r="BI1" s="1733"/>
      <c r="BJ1" s="1733"/>
      <c r="BK1" s="1733"/>
      <c r="BL1" s="1733"/>
      <c r="BM1" s="1733"/>
      <c r="BN1" s="1733"/>
      <c r="BO1" s="1733"/>
      <c r="BP1" s="1733"/>
      <c r="BQ1" s="1733"/>
      <c r="BR1" s="1733"/>
      <c r="BS1" s="1733"/>
      <c r="BT1" s="1733"/>
      <c r="BU1" s="1733"/>
      <c r="BV1" s="1733"/>
      <c r="BW1" s="1733"/>
      <c r="BX1" s="1733"/>
      <c r="BY1" s="1733"/>
      <c r="BZ1" s="1733"/>
      <c r="CA1" s="1733"/>
      <c r="CB1" s="1733"/>
      <c r="CC1" s="1733"/>
      <c r="CD1" s="1733"/>
      <c r="CE1" s="1733"/>
      <c r="CF1" s="1733"/>
      <c r="CG1" s="1733"/>
      <c r="CH1" s="1733"/>
      <c r="CI1" s="1733"/>
      <c r="CJ1" s="1733"/>
      <c r="CK1" s="1733"/>
      <c r="CL1" s="1733"/>
      <c r="CM1" s="1733"/>
      <c r="CN1" s="1733"/>
      <c r="CO1" s="1733"/>
      <c r="CP1" s="1733"/>
      <c r="CQ1" s="1733"/>
      <c r="CR1" s="1733"/>
      <c r="CS1" s="1733"/>
      <c r="CT1" s="1733"/>
      <c r="CU1" s="1733"/>
      <c r="CV1" s="1733"/>
      <c r="CW1" s="1733"/>
      <c r="CX1" s="1733"/>
      <c r="CY1" s="1733"/>
      <c r="CZ1" s="1733"/>
      <c r="DA1" s="1733"/>
      <c r="DB1" s="1733"/>
      <c r="DC1" s="1733"/>
      <c r="DD1" s="1733"/>
      <c r="DE1" s="1733"/>
      <c r="DF1" s="1733"/>
      <c r="DG1" s="1733"/>
      <c r="DH1" s="1733"/>
      <c r="DI1" s="1733"/>
      <c r="DJ1" s="1733"/>
      <c r="DK1" s="1733"/>
      <c r="DL1" s="1733"/>
      <c r="DM1" s="1733"/>
      <c r="DN1" s="1733"/>
      <c r="DO1" s="1733"/>
      <c r="DP1" s="1733"/>
      <c r="DQ1" s="1733"/>
    </row>
    <row r="2" spans="1:121" ht="15" thickBot="1">
      <c r="A2" s="1653"/>
      <c r="B2" s="1653"/>
      <c r="C2" s="1653"/>
      <c r="D2" s="1653"/>
      <c r="E2" s="1653"/>
      <c r="F2" s="1653"/>
      <c r="G2" s="1653"/>
      <c r="H2" s="1653"/>
      <c r="I2" s="1653"/>
      <c r="J2" s="1653"/>
      <c r="K2" s="1653"/>
      <c r="L2" s="1653"/>
      <c r="M2" s="1653"/>
      <c r="N2" s="1653"/>
      <c r="O2" s="1653"/>
      <c r="P2" s="1653"/>
      <c r="Q2" s="1653"/>
      <c r="R2" s="1653"/>
      <c r="S2" s="1653"/>
      <c r="T2" s="1653"/>
      <c r="U2" s="1653"/>
      <c r="V2" s="1653"/>
      <c r="W2" s="1653"/>
      <c r="X2" s="1653"/>
      <c r="Y2" s="1653"/>
      <c r="Z2" s="1653"/>
      <c r="AA2" s="1653"/>
      <c r="AB2" s="1653"/>
      <c r="AC2" s="1653"/>
      <c r="AD2" s="1653"/>
      <c r="AE2" s="1653"/>
      <c r="AF2" s="1653"/>
      <c r="AG2" s="1653"/>
      <c r="AH2" s="1653"/>
      <c r="AI2" s="1653"/>
      <c r="AJ2" s="1653"/>
      <c r="AK2" s="1653"/>
      <c r="AL2" s="1653"/>
      <c r="AM2" s="1653"/>
      <c r="AN2" s="1653"/>
      <c r="AO2" s="1653"/>
      <c r="AP2" s="1653"/>
      <c r="AQ2" s="1653"/>
      <c r="AR2" s="1653"/>
      <c r="AS2" s="1653"/>
      <c r="AT2" s="1653"/>
      <c r="AU2" s="1653"/>
      <c r="AV2" s="1653"/>
      <c r="AW2" s="1653"/>
      <c r="AX2" s="1653"/>
      <c r="AY2" s="1653"/>
      <c r="AZ2" s="1653"/>
      <c r="BA2" s="1653"/>
      <c r="BB2" s="1653"/>
      <c r="BC2" s="1653"/>
      <c r="BD2" s="1653"/>
      <c r="BE2" s="1653"/>
      <c r="BF2" s="1653"/>
      <c r="BG2" s="1653"/>
      <c r="BH2" s="1653"/>
      <c r="BI2" s="1653"/>
      <c r="BJ2" s="1653"/>
      <c r="BK2" s="1653"/>
      <c r="BL2" s="1653"/>
      <c r="BM2" s="1653"/>
      <c r="BN2" s="1653"/>
      <c r="BO2" s="1653"/>
      <c r="BP2" s="1653"/>
      <c r="BQ2" s="1653"/>
      <c r="BR2" s="1653"/>
      <c r="BS2" s="1653"/>
      <c r="BT2" s="1653"/>
      <c r="BU2" s="1653"/>
      <c r="BV2" s="1653"/>
      <c r="BW2" s="1653"/>
      <c r="BX2" s="1653"/>
      <c r="BY2" s="1653"/>
      <c r="BZ2" s="1653"/>
      <c r="CA2" s="1653"/>
      <c r="CB2" s="1653"/>
      <c r="CC2" s="1653"/>
      <c r="CD2" s="1653"/>
      <c r="CE2" s="1653"/>
      <c r="CF2" s="1653"/>
      <c r="CG2" s="1653"/>
      <c r="CH2" s="1653"/>
      <c r="CI2" s="1653"/>
      <c r="CJ2" s="1653"/>
      <c r="CK2" s="1653"/>
      <c r="CL2" s="1653"/>
      <c r="CM2" s="1653"/>
      <c r="CN2" s="1653"/>
      <c r="CO2" s="1653"/>
      <c r="CP2" s="1653"/>
      <c r="CQ2" s="1653"/>
      <c r="CR2" s="1653"/>
      <c r="CS2" s="1653"/>
      <c r="CT2" s="1653"/>
      <c r="CU2" s="1653"/>
      <c r="CV2" s="1653"/>
      <c r="CW2" s="1653"/>
      <c r="CX2" s="1653"/>
      <c r="CY2" s="1653"/>
      <c r="CZ2" s="1653"/>
      <c r="DA2" s="1653"/>
      <c r="DB2" s="1653"/>
      <c r="DC2" s="1653"/>
      <c r="DD2" s="1653"/>
      <c r="DE2" s="1653"/>
      <c r="DF2" s="1653"/>
      <c r="DG2" s="1653"/>
      <c r="DH2" s="1653"/>
      <c r="DI2" s="1653"/>
      <c r="DJ2" s="1653"/>
      <c r="DK2" s="1653"/>
      <c r="DL2" s="1653"/>
      <c r="DM2" s="1653"/>
      <c r="DN2" s="1653"/>
      <c r="DO2" s="1653"/>
      <c r="DP2" s="1653"/>
      <c r="DQ2" s="1653"/>
    </row>
    <row r="3" spans="1:121" ht="27.75" customHeight="1" thickBot="1">
      <c r="A3" s="1745" t="s">
        <v>0</v>
      </c>
      <c r="B3" s="1747" t="s">
        <v>206</v>
      </c>
      <c r="C3" s="1748"/>
      <c r="D3" s="1748"/>
      <c r="E3" s="1748"/>
      <c r="F3" s="1749"/>
      <c r="G3" s="1737" t="s">
        <v>164</v>
      </c>
      <c r="H3" s="1712"/>
      <c r="I3" s="1712"/>
      <c r="J3" s="1712"/>
      <c r="K3" s="1713"/>
      <c r="L3" s="1731" t="s">
        <v>165</v>
      </c>
      <c r="M3" s="1732"/>
      <c r="N3" s="1732"/>
      <c r="O3" s="1732"/>
      <c r="P3" s="1750"/>
      <c r="Q3" s="1737" t="s">
        <v>205</v>
      </c>
      <c r="R3" s="1712"/>
      <c r="S3" s="1712"/>
      <c r="T3" s="1712"/>
      <c r="U3" s="1713"/>
      <c r="V3" s="1737" t="s">
        <v>204</v>
      </c>
      <c r="W3" s="1712"/>
      <c r="X3" s="1712"/>
      <c r="Y3" s="1712"/>
      <c r="Z3" s="1713"/>
      <c r="AA3" s="1737" t="s">
        <v>203</v>
      </c>
      <c r="AB3" s="1712"/>
      <c r="AC3" s="1712"/>
      <c r="AD3" s="1712"/>
      <c r="AE3" s="1713"/>
      <c r="AF3" s="1737" t="s">
        <v>448</v>
      </c>
      <c r="AG3" s="1712"/>
      <c r="AH3" s="1712"/>
      <c r="AI3" s="1712"/>
      <c r="AJ3" s="1713"/>
      <c r="AK3" s="1737" t="s">
        <v>547</v>
      </c>
      <c r="AL3" s="1712"/>
      <c r="AM3" s="1712"/>
      <c r="AN3" s="1712"/>
      <c r="AO3" s="1713"/>
      <c r="AP3" s="1737" t="s">
        <v>546</v>
      </c>
      <c r="AQ3" s="1712"/>
      <c r="AR3" s="1712"/>
      <c r="AS3" s="1712"/>
      <c r="AT3" s="1713"/>
      <c r="AU3" s="1738" t="s">
        <v>202</v>
      </c>
      <c r="AV3" s="1739"/>
      <c r="AW3" s="1739"/>
      <c r="AX3" s="1739"/>
      <c r="AY3" s="1755"/>
      <c r="AZ3" s="1738" t="s">
        <v>545</v>
      </c>
      <c r="BA3" s="1739"/>
      <c r="BB3" s="1739"/>
      <c r="BC3" s="1739"/>
      <c r="BD3" s="1740"/>
      <c r="BE3" s="1738" t="s">
        <v>544</v>
      </c>
      <c r="BF3" s="1739"/>
      <c r="BG3" s="1739"/>
      <c r="BH3" s="1739"/>
      <c r="BI3" s="1740"/>
      <c r="BJ3" s="1738" t="s">
        <v>532</v>
      </c>
      <c r="BK3" s="1739"/>
      <c r="BL3" s="1739"/>
      <c r="BM3" s="1739"/>
      <c r="BN3" s="1740"/>
      <c r="BO3" s="1738" t="s">
        <v>543</v>
      </c>
      <c r="BP3" s="1739"/>
      <c r="BQ3" s="1739"/>
      <c r="BR3" s="1739"/>
      <c r="BS3" s="1740"/>
      <c r="BT3" s="1742" t="s">
        <v>200</v>
      </c>
      <c r="BU3" s="1743"/>
      <c r="BV3" s="1743"/>
      <c r="BW3" s="1743"/>
      <c r="BX3" s="1744"/>
      <c r="BY3" s="1741" t="s">
        <v>199</v>
      </c>
      <c r="BZ3" s="1739"/>
      <c r="CA3" s="1739"/>
      <c r="CB3" s="1739"/>
      <c r="CC3" s="1740"/>
      <c r="CD3" s="1741" t="s">
        <v>198</v>
      </c>
      <c r="CE3" s="1739"/>
      <c r="CF3" s="1739"/>
      <c r="CG3" s="1739"/>
      <c r="CH3" s="1740"/>
      <c r="CI3" s="1738" t="s">
        <v>542</v>
      </c>
      <c r="CJ3" s="1739"/>
      <c r="CK3" s="1739"/>
      <c r="CL3" s="1739"/>
      <c r="CM3" s="1740"/>
      <c r="CN3" s="1754" t="s">
        <v>179</v>
      </c>
      <c r="CO3" s="1743"/>
      <c r="CP3" s="1743"/>
      <c r="CQ3" s="1743"/>
      <c r="CR3" s="1744"/>
      <c r="CS3" s="1737" t="s">
        <v>541</v>
      </c>
      <c r="CT3" s="1712"/>
      <c r="CU3" s="1712"/>
      <c r="CV3" s="1712"/>
      <c r="CW3" s="1713"/>
      <c r="CX3" s="1737" t="s">
        <v>195</v>
      </c>
      <c r="CY3" s="1712"/>
      <c r="CZ3" s="1712"/>
      <c r="DA3" s="1712"/>
      <c r="DB3" s="1713"/>
      <c r="DC3" s="1737" t="s">
        <v>196</v>
      </c>
      <c r="DD3" s="1712"/>
      <c r="DE3" s="1712"/>
      <c r="DF3" s="1712"/>
      <c r="DG3" s="1713"/>
      <c r="DH3" s="1737" t="s">
        <v>183</v>
      </c>
      <c r="DI3" s="1712"/>
      <c r="DJ3" s="1712"/>
      <c r="DK3" s="1712"/>
      <c r="DL3" s="1713"/>
      <c r="DM3" s="1751" t="s">
        <v>184</v>
      </c>
      <c r="DN3" s="1752"/>
      <c r="DO3" s="1752"/>
      <c r="DP3" s="1752"/>
      <c r="DQ3" s="1753"/>
    </row>
    <row r="4" spans="1:121" s="583" customFormat="1" ht="15" thickBot="1">
      <c r="A4" s="1746"/>
      <c r="B4" s="599" t="s">
        <v>185</v>
      </c>
      <c r="C4" s="600" t="s">
        <v>154</v>
      </c>
      <c r="D4" s="600" t="s">
        <v>186</v>
      </c>
      <c r="E4" s="600" t="s">
        <v>187</v>
      </c>
      <c r="F4" s="601" t="s">
        <v>188</v>
      </c>
      <c r="G4" s="778" t="s">
        <v>185</v>
      </c>
      <c r="H4" s="779" t="s">
        <v>154</v>
      </c>
      <c r="I4" s="779" t="s">
        <v>186</v>
      </c>
      <c r="J4" s="779" t="s">
        <v>187</v>
      </c>
      <c r="K4" s="780" t="s">
        <v>188</v>
      </c>
      <c r="L4" s="570" t="s">
        <v>185</v>
      </c>
      <c r="M4" s="571" t="s">
        <v>154</v>
      </c>
      <c r="N4" s="571" t="s">
        <v>186</v>
      </c>
      <c r="O4" s="571" t="s">
        <v>187</v>
      </c>
      <c r="P4" s="529" t="s">
        <v>188</v>
      </c>
      <c r="Q4" s="1110" t="s">
        <v>185</v>
      </c>
      <c r="R4" s="1387" t="s">
        <v>154</v>
      </c>
      <c r="S4" s="1387" t="s">
        <v>186</v>
      </c>
      <c r="T4" s="1387" t="s">
        <v>187</v>
      </c>
      <c r="U4" s="1022" t="s">
        <v>188</v>
      </c>
      <c r="V4" s="1023" t="s">
        <v>185</v>
      </c>
      <c r="W4" s="1387" t="s">
        <v>154</v>
      </c>
      <c r="X4" s="1387" t="s">
        <v>186</v>
      </c>
      <c r="Y4" s="1387" t="s">
        <v>187</v>
      </c>
      <c r="Z4" s="1022" t="s">
        <v>188</v>
      </c>
      <c r="AA4" s="1023" t="s">
        <v>185</v>
      </c>
      <c r="AB4" s="1387" t="s">
        <v>154</v>
      </c>
      <c r="AC4" s="1387" t="s">
        <v>186</v>
      </c>
      <c r="AD4" s="1387" t="s">
        <v>187</v>
      </c>
      <c r="AE4" s="1022" t="s">
        <v>188</v>
      </c>
      <c r="AF4" s="1023" t="s">
        <v>185</v>
      </c>
      <c r="AG4" s="1387" t="s">
        <v>154</v>
      </c>
      <c r="AH4" s="1387" t="s">
        <v>186</v>
      </c>
      <c r="AI4" s="1387" t="s">
        <v>187</v>
      </c>
      <c r="AJ4" s="1022" t="s">
        <v>188</v>
      </c>
      <c r="AK4" s="1023" t="s">
        <v>185</v>
      </c>
      <c r="AL4" s="1387" t="s">
        <v>154</v>
      </c>
      <c r="AM4" s="1387" t="s">
        <v>186</v>
      </c>
      <c r="AN4" s="1387" t="s">
        <v>187</v>
      </c>
      <c r="AO4" s="1022" t="s">
        <v>188</v>
      </c>
      <c r="AP4" s="1023" t="s">
        <v>185</v>
      </c>
      <c r="AQ4" s="1387" t="s">
        <v>154</v>
      </c>
      <c r="AR4" s="1387" t="s">
        <v>186</v>
      </c>
      <c r="AS4" s="1387" t="s">
        <v>187</v>
      </c>
      <c r="AT4" s="1022" t="s">
        <v>188</v>
      </c>
      <c r="AU4" s="1023" t="s">
        <v>185</v>
      </c>
      <c r="AV4" s="1387" t="s">
        <v>154</v>
      </c>
      <c r="AW4" s="1387" t="s">
        <v>186</v>
      </c>
      <c r="AX4" s="1387" t="s">
        <v>187</v>
      </c>
      <c r="AY4" s="1022" t="s">
        <v>188</v>
      </c>
      <c r="AZ4" s="1023" t="s">
        <v>185</v>
      </c>
      <c r="BA4" s="1387" t="s">
        <v>154</v>
      </c>
      <c r="BB4" s="1387" t="s">
        <v>186</v>
      </c>
      <c r="BC4" s="1387" t="s">
        <v>187</v>
      </c>
      <c r="BD4" s="1022" t="s">
        <v>188</v>
      </c>
      <c r="BE4" s="1023" t="s">
        <v>185</v>
      </c>
      <c r="BF4" s="1387" t="s">
        <v>154</v>
      </c>
      <c r="BG4" s="1387" t="s">
        <v>186</v>
      </c>
      <c r="BH4" s="1387" t="s">
        <v>187</v>
      </c>
      <c r="BI4" s="1022" t="s">
        <v>188</v>
      </c>
      <c r="BJ4" s="1023" t="s">
        <v>185</v>
      </c>
      <c r="BK4" s="1387" t="s">
        <v>154</v>
      </c>
      <c r="BL4" s="1387" t="s">
        <v>186</v>
      </c>
      <c r="BM4" s="1387" t="s">
        <v>187</v>
      </c>
      <c r="BN4" s="1022" t="s">
        <v>188</v>
      </c>
      <c r="BO4" s="1023" t="s">
        <v>185</v>
      </c>
      <c r="BP4" s="1387" t="s">
        <v>154</v>
      </c>
      <c r="BQ4" s="1387" t="s">
        <v>186</v>
      </c>
      <c r="BR4" s="1387" t="s">
        <v>187</v>
      </c>
      <c r="BS4" s="1022" t="s">
        <v>188</v>
      </c>
      <c r="BT4" s="1023" t="s">
        <v>185</v>
      </c>
      <c r="BU4" s="1387" t="s">
        <v>154</v>
      </c>
      <c r="BV4" s="1387" t="s">
        <v>186</v>
      </c>
      <c r="BW4" s="1387" t="s">
        <v>187</v>
      </c>
      <c r="BX4" s="1022" t="s">
        <v>188</v>
      </c>
      <c r="BY4" s="1023" t="s">
        <v>185</v>
      </c>
      <c r="BZ4" s="1387" t="s">
        <v>154</v>
      </c>
      <c r="CA4" s="1387" t="s">
        <v>186</v>
      </c>
      <c r="CB4" s="1387" t="s">
        <v>187</v>
      </c>
      <c r="CC4" s="1022" t="s">
        <v>188</v>
      </c>
      <c r="CD4" s="1023" t="s">
        <v>185</v>
      </c>
      <c r="CE4" s="1387" t="s">
        <v>154</v>
      </c>
      <c r="CF4" s="1387" t="s">
        <v>186</v>
      </c>
      <c r="CG4" s="1387" t="s">
        <v>187</v>
      </c>
      <c r="CH4" s="1022" t="s">
        <v>188</v>
      </c>
      <c r="CI4" s="1023" t="s">
        <v>185</v>
      </c>
      <c r="CJ4" s="1387" t="s">
        <v>154</v>
      </c>
      <c r="CK4" s="1387" t="s">
        <v>186</v>
      </c>
      <c r="CL4" s="1387" t="s">
        <v>187</v>
      </c>
      <c r="CM4" s="1022" t="s">
        <v>188</v>
      </c>
      <c r="CN4" s="1023" t="s">
        <v>185</v>
      </c>
      <c r="CO4" s="1387" t="s">
        <v>154</v>
      </c>
      <c r="CP4" s="1387" t="s">
        <v>186</v>
      </c>
      <c r="CQ4" s="1387" t="s">
        <v>187</v>
      </c>
      <c r="CR4" s="1022" t="s">
        <v>188</v>
      </c>
      <c r="CS4" s="1023" t="s">
        <v>185</v>
      </c>
      <c r="CT4" s="1387" t="s">
        <v>154</v>
      </c>
      <c r="CU4" s="1387" t="s">
        <v>186</v>
      </c>
      <c r="CV4" s="1387" t="s">
        <v>187</v>
      </c>
      <c r="CW4" s="1022" t="s">
        <v>188</v>
      </c>
      <c r="CX4" s="1023" t="s">
        <v>185</v>
      </c>
      <c r="CY4" s="1387" t="s">
        <v>154</v>
      </c>
      <c r="CZ4" s="1387" t="s">
        <v>186</v>
      </c>
      <c r="DA4" s="1387" t="s">
        <v>187</v>
      </c>
      <c r="DB4" s="1022" t="s">
        <v>188</v>
      </c>
      <c r="DC4" s="1023" t="s">
        <v>185</v>
      </c>
      <c r="DD4" s="1387" t="s">
        <v>154</v>
      </c>
      <c r="DE4" s="1387" t="s">
        <v>186</v>
      </c>
      <c r="DF4" s="1387" t="s">
        <v>187</v>
      </c>
      <c r="DG4" s="1022" t="s">
        <v>188</v>
      </c>
      <c r="DH4" s="1023" t="s">
        <v>185</v>
      </c>
      <c r="DI4" s="1387" t="s">
        <v>154</v>
      </c>
      <c r="DJ4" s="1387" t="s">
        <v>186</v>
      </c>
      <c r="DK4" s="1387" t="s">
        <v>187</v>
      </c>
      <c r="DL4" s="1022" t="s">
        <v>188</v>
      </c>
      <c r="DM4" s="571" t="s">
        <v>185</v>
      </c>
      <c r="DN4" s="571" t="s">
        <v>154</v>
      </c>
      <c r="DO4" s="571" t="s">
        <v>186</v>
      </c>
      <c r="DP4" s="571" t="s">
        <v>187</v>
      </c>
      <c r="DQ4" s="529" t="s">
        <v>188</v>
      </c>
    </row>
    <row r="5" spans="1:121" ht="14.25">
      <c r="A5" s="344" t="s">
        <v>189</v>
      </c>
      <c r="B5" s="342">
        <v>68440020.52</v>
      </c>
      <c r="C5" s="338">
        <v>197556.66</v>
      </c>
      <c r="D5" s="338">
        <v>630983.23</v>
      </c>
      <c r="E5" s="338">
        <v>113078014.66</v>
      </c>
      <c r="F5" s="339">
        <v>182346575.07</v>
      </c>
      <c r="G5" s="326"/>
      <c r="H5" s="327"/>
      <c r="I5" s="327"/>
      <c r="J5" s="327"/>
      <c r="K5" s="328">
        <f>SUM(G5:J5)</f>
        <v>0</v>
      </c>
      <c r="L5" s="326">
        <v>1176.74</v>
      </c>
      <c r="M5" s="327"/>
      <c r="N5" s="327">
        <v>169.62</v>
      </c>
      <c r="O5" s="327">
        <v>5544</v>
      </c>
      <c r="P5" s="328">
        <f>SUM(L5:O5)</f>
        <v>6890.360000000001</v>
      </c>
      <c r="Q5" s="326">
        <v>6821.02</v>
      </c>
      <c r="R5" s="327"/>
      <c r="S5" s="327">
        <v>3769.07</v>
      </c>
      <c r="T5" s="327">
        <v>22791.81</v>
      </c>
      <c r="U5" s="328">
        <f>SUM(Q5:T5)</f>
        <v>33381.9</v>
      </c>
      <c r="V5" s="326">
        <v>2209.83</v>
      </c>
      <c r="W5" s="327"/>
      <c r="X5" s="327">
        <v>288.69</v>
      </c>
      <c r="Y5" s="327">
        <v>4921.43</v>
      </c>
      <c r="Z5" s="328">
        <f>SUM(V5:Y5)</f>
        <v>7419.950000000001</v>
      </c>
      <c r="AA5" s="326">
        <v>294918</v>
      </c>
      <c r="AB5" s="327"/>
      <c r="AC5" s="327"/>
      <c r="AD5" s="327">
        <v>420124</v>
      </c>
      <c r="AE5" s="333">
        <f>SUM(AA5:AD5)</f>
        <v>715042</v>
      </c>
      <c r="AF5" s="323">
        <v>153175.08</v>
      </c>
      <c r="AG5" s="324"/>
      <c r="AH5" s="324"/>
      <c r="AI5" s="324">
        <v>249660.47</v>
      </c>
      <c r="AJ5" s="325">
        <f>SUM(AF5:AI5)</f>
        <v>402835.55</v>
      </c>
      <c r="AK5" s="334">
        <v>42233</v>
      </c>
      <c r="AL5" s="327"/>
      <c r="AM5" s="327">
        <v>31150</v>
      </c>
      <c r="AN5" s="327">
        <v>185287</v>
      </c>
      <c r="AO5" s="328">
        <f>SUM(AK5:AN5)</f>
        <v>258670</v>
      </c>
      <c r="AP5" s="326">
        <v>329640</v>
      </c>
      <c r="AQ5" s="327">
        <v>53301</v>
      </c>
      <c r="AR5" s="327">
        <v>941085</v>
      </c>
      <c r="AS5" s="327">
        <v>55112</v>
      </c>
      <c r="AT5" s="333">
        <f>SUM(AP5:AS5)</f>
        <v>1379138</v>
      </c>
      <c r="AU5" s="326">
        <v>740.12</v>
      </c>
      <c r="AV5" s="327"/>
      <c r="AW5" s="327">
        <v>165.87</v>
      </c>
      <c r="AX5" s="327">
        <v>2711.83</v>
      </c>
      <c r="AY5" s="333">
        <f>SUM(AU5:AX5)</f>
        <v>3617.8199999999997</v>
      </c>
      <c r="AZ5" s="326">
        <v>1301256</v>
      </c>
      <c r="BA5" s="327"/>
      <c r="BB5" s="327">
        <v>338657.69</v>
      </c>
      <c r="BC5" s="327">
        <v>4210715.55</v>
      </c>
      <c r="BD5" s="328">
        <f>SUM(AZ5:BC5)</f>
        <v>5850629.24</v>
      </c>
      <c r="BE5" s="323">
        <v>1129164.89</v>
      </c>
      <c r="BF5" s="324">
        <v>66282.06</v>
      </c>
      <c r="BG5" s="324">
        <v>340748.33</v>
      </c>
      <c r="BH5" s="324">
        <v>4636741.77</v>
      </c>
      <c r="BI5" s="325">
        <f>SUM(BE5:BH5)</f>
        <v>6172937.05</v>
      </c>
      <c r="BJ5" s="326">
        <v>219208.5</v>
      </c>
      <c r="BK5" s="327">
        <v>980.54</v>
      </c>
      <c r="BL5" s="327">
        <v>70279.75</v>
      </c>
      <c r="BM5" s="327">
        <v>468590.74</v>
      </c>
      <c r="BN5" s="328">
        <f>SUM(BJ5:BM5)</f>
        <v>759059.53</v>
      </c>
      <c r="BO5" s="326">
        <v>317518.3</v>
      </c>
      <c r="BP5" s="327"/>
      <c r="BQ5" s="327">
        <v>1086.9</v>
      </c>
      <c r="BR5" s="327">
        <v>74827.37</v>
      </c>
      <c r="BS5" s="325">
        <f>SUM(BO5:BR5)</f>
        <v>393432.57</v>
      </c>
      <c r="BT5" s="326">
        <v>1999</v>
      </c>
      <c r="BU5" s="327"/>
      <c r="BV5" s="327">
        <v>764.5</v>
      </c>
      <c r="BW5" s="327">
        <v>22228.3</v>
      </c>
      <c r="BX5" s="328">
        <f>SUM(BT5:BW5)</f>
        <v>24991.8</v>
      </c>
      <c r="BY5" s="334">
        <v>11840</v>
      </c>
      <c r="BZ5" s="327"/>
      <c r="CA5" s="327">
        <v>51</v>
      </c>
      <c r="CB5" s="327">
        <v>47293</v>
      </c>
      <c r="CC5" s="328">
        <v>59193</v>
      </c>
      <c r="CD5" s="334"/>
      <c r="CE5" s="327"/>
      <c r="CF5" s="327"/>
      <c r="CG5" s="327"/>
      <c r="CH5" s="328">
        <f>SUM(CD5:CG5)</f>
        <v>0</v>
      </c>
      <c r="CI5" s="323">
        <v>365218.42</v>
      </c>
      <c r="CJ5" s="324"/>
      <c r="CK5" s="324">
        <v>7350.09</v>
      </c>
      <c r="CL5" s="324">
        <v>1450123.64</v>
      </c>
      <c r="CM5" s="325">
        <f>SUM(CI5:CL5)</f>
        <v>1822692.15</v>
      </c>
      <c r="CN5" s="334"/>
      <c r="CO5" s="327"/>
      <c r="CP5" s="327"/>
      <c r="CQ5" s="327"/>
      <c r="CR5" s="328">
        <f>SUM(CN5:CQ5)</f>
        <v>0</v>
      </c>
      <c r="CS5" s="335">
        <v>1600767.99</v>
      </c>
      <c r="CT5" s="336">
        <v>35905.98</v>
      </c>
      <c r="CU5" s="336">
        <v>444037.62</v>
      </c>
      <c r="CV5" s="336">
        <v>3943076.62</v>
      </c>
      <c r="CW5" s="337">
        <f>SUM(CS5:CV5)</f>
        <v>6023788.21</v>
      </c>
      <c r="CX5" s="326">
        <v>2067.22</v>
      </c>
      <c r="CY5" s="327"/>
      <c r="CZ5" s="327">
        <v>70.71</v>
      </c>
      <c r="DA5" s="327">
        <v>3009.53</v>
      </c>
      <c r="DB5" s="328">
        <f>SUM(CX5:DA5)</f>
        <v>5147.46</v>
      </c>
      <c r="DC5" s="326">
        <v>2104.57</v>
      </c>
      <c r="DD5" s="327"/>
      <c r="DE5" s="327">
        <v>263.45</v>
      </c>
      <c r="DF5" s="327">
        <v>4532.33</v>
      </c>
      <c r="DG5" s="328">
        <f>SUM(DC5:DF5)</f>
        <v>6900.35</v>
      </c>
      <c r="DH5" s="326">
        <v>552066.12</v>
      </c>
      <c r="DI5" s="327"/>
      <c r="DJ5" s="327">
        <v>86044.42</v>
      </c>
      <c r="DK5" s="327">
        <v>2055548.09</v>
      </c>
      <c r="DL5" s="328">
        <v>2693658.63</v>
      </c>
      <c r="DM5" s="326"/>
      <c r="DN5" s="327"/>
      <c r="DO5" s="327"/>
      <c r="DP5" s="327"/>
      <c r="DQ5" s="328">
        <f>SUM(DM5:DP5)</f>
        <v>0</v>
      </c>
    </row>
    <row r="6" spans="1:121" ht="14.25">
      <c r="A6" s="345" t="s">
        <v>190</v>
      </c>
      <c r="B6" s="238"/>
      <c r="C6" s="71"/>
      <c r="D6" s="71"/>
      <c r="E6" s="71"/>
      <c r="F6" s="72"/>
      <c r="G6" s="2"/>
      <c r="H6" s="3"/>
      <c r="I6" s="3"/>
      <c r="J6" s="3"/>
      <c r="K6" s="1">
        <f aca="true" t="shared" si="0" ref="K6:K14">SUM(G6:J6)</f>
        <v>0</v>
      </c>
      <c r="L6" s="2">
        <v>32.07</v>
      </c>
      <c r="M6" s="3"/>
      <c r="N6" s="3"/>
      <c r="O6" s="3"/>
      <c r="P6" s="328">
        <f aca="true" t="shared" si="1" ref="P6:P12">SUM(L6:O6)</f>
        <v>32.07</v>
      </c>
      <c r="Q6" s="2"/>
      <c r="R6" s="3"/>
      <c r="S6" s="3"/>
      <c r="T6" s="3"/>
      <c r="U6" s="4">
        <f aca="true" t="shared" si="2" ref="U6:U14">SUM(Q6:T6)</f>
        <v>0</v>
      </c>
      <c r="V6" s="2">
        <v>35</v>
      </c>
      <c r="W6" s="3"/>
      <c r="X6" s="3"/>
      <c r="Y6" s="3"/>
      <c r="Z6" s="4">
        <f aca="true" t="shared" si="3" ref="Z6:Z12">SUM(V6:Y6)</f>
        <v>35</v>
      </c>
      <c r="AA6" s="2">
        <v>500</v>
      </c>
      <c r="AB6" s="327"/>
      <c r="AC6" s="3"/>
      <c r="AD6" s="3"/>
      <c r="AE6" s="224">
        <v>500</v>
      </c>
      <c r="AF6" s="1388">
        <v>23164.34</v>
      </c>
      <c r="AG6" s="45"/>
      <c r="AH6" s="45"/>
      <c r="AI6" s="45"/>
      <c r="AJ6" s="325">
        <v>23164.34</v>
      </c>
      <c r="AK6" s="21">
        <v>6631</v>
      </c>
      <c r="AL6" s="3"/>
      <c r="AM6" s="3"/>
      <c r="AN6" s="3"/>
      <c r="AO6" s="4">
        <f aca="true" t="shared" si="4" ref="AO6:AO14">SUM(AK6:AN6)</f>
        <v>6631</v>
      </c>
      <c r="AP6" s="2">
        <v>2500</v>
      </c>
      <c r="AQ6" s="3"/>
      <c r="AR6" s="3"/>
      <c r="AS6" s="3"/>
      <c r="AT6" s="224">
        <f aca="true" t="shared" si="5" ref="AT6:AT11">SUM(AP6:AS6)</f>
        <v>2500</v>
      </c>
      <c r="AU6" s="2">
        <v>42</v>
      </c>
      <c r="AV6" s="3"/>
      <c r="AW6" s="3"/>
      <c r="AX6" s="3"/>
      <c r="AY6" s="224">
        <v>42</v>
      </c>
      <c r="AZ6" s="2"/>
      <c r="BA6" s="1067"/>
      <c r="BB6" s="3"/>
      <c r="BC6" s="3"/>
      <c r="BD6" s="4">
        <f aca="true" t="shared" si="6" ref="BD6:BD14">SUM(AZ6:BC6)</f>
        <v>0</v>
      </c>
      <c r="BE6" s="2"/>
      <c r="BF6" s="3"/>
      <c r="BG6" s="3"/>
      <c r="BH6" s="3"/>
      <c r="BI6" s="4">
        <f aca="true" t="shared" si="7" ref="BI6:BI14">SUM(BE6:BH6)</f>
        <v>0</v>
      </c>
      <c r="BJ6" s="225">
        <v>1500</v>
      </c>
      <c r="BK6" s="5"/>
      <c r="BL6" s="5"/>
      <c r="BM6" s="5"/>
      <c r="BN6" s="1">
        <f aca="true" t="shared" si="8" ref="BN6:BN11">SUM(BJ6:BM6)</f>
        <v>1500</v>
      </c>
      <c r="BO6" s="2">
        <v>8048.33</v>
      </c>
      <c r="BP6" s="3"/>
      <c r="BQ6" s="3"/>
      <c r="BR6" s="3">
        <v>5277.7</v>
      </c>
      <c r="BS6" s="4">
        <f aca="true" t="shared" si="9" ref="BS6:BS11">SUM(BO6:BR6)</f>
        <v>13326.029999999999</v>
      </c>
      <c r="BT6" s="2">
        <v>25</v>
      </c>
      <c r="BU6" s="3"/>
      <c r="BV6" s="3"/>
      <c r="BW6" s="3"/>
      <c r="BX6" s="4">
        <v>25</v>
      </c>
      <c r="BY6" s="21"/>
      <c r="BZ6" s="3"/>
      <c r="CA6" s="3"/>
      <c r="CB6" s="3"/>
      <c r="CC6" s="4"/>
      <c r="CD6" s="21"/>
      <c r="CE6" s="3"/>
      <c r="CF6" s="3"/>
      <c r="CG6" s="3"/>
      <c r="CH6" s="4">
        <f aca="true" t="shared" si="10" ref="CH6:CH14">SUM(CD6:CG6)</f>
        <v>0</v>
      </c>
      <c r="CI6" s="2">
        <v>7950.98</v>
      </c>
      <c r="CJ6" s="3"/>
      <c r="CK6" s="3"/>
      <c r="CL6" s="3">
        <v>24370</v>
      </c>
      <c r="CM6" s="4">
        <f aca="true" t="shared" si="11" ref="CM6:CM14">SUM(CI6:CL6)</f>
        <v>32320.98</v>
      </c>
      <c r="CN6" s="26"/>
      <c r="CO6" s="3"/>
      <c r="CP6" s="3"/>
      <c r="CQ6" s="3"/>
      <c r="CR6" s="4">
        <f aca="true" t="shared" si="12" ref="CR6:CR14">SUM(CN6:CQ6)</f>
        <v>0</v>
      </c>
      <c r="CS6" s="21"/>
      <c r="CT6" s="3"/>
      <c r="CU6" s="300"/>
      <c r="CV6" s="300"/>
      <c r="CW6" s="301"/>
      <c r="CX6" s="302"/>
      <c r="CY6" s="226"/>
      <c r="CZ6" s="226"/>
      <c r="DA6" s="226"/>
      <c r="DB6" s="289">
        <f aca="true" t="shared" si="13" ref="DB6:DB14">SUM(CX6:DA6)</f>
        <v>0</v>
      </c>
      <c r="DC6" s="303">
        <v>83.2</v>
      </c>
      <c r="DD6" s="227"/>
      <c r="DE6" s="227"/>
      <c r="DF6" s="227"/>
      <c r="DG6" s="292">
        <f aca="true" t="shared" si="14" ref="DG6:DG13">SUM(DC6:DF6)</f>
        <v>83.2</v>
      </c>
      <c r="DH6" s="2"/>
      <c r="DI6" s="3"/>
      <c r="DJ6" s="3"/>
      <c r="DK6" s="3"/>
      <c r="DL6" s="1"/>
      <c r="DM6" s="303"/>
      <c r="DN6" s="227"/>
      <c r="DO6" s="227"/>
      <c r="DP6" s="227"/>
      <c r="DQ6" s="292">
        <f aca="true" t="shared" si="15" ref="DQ6:DQ14">SUM(DM6:DP6)</f>
        <v>0</v>
      </c>
    </row>
    <row r="7" spans="1:121" ht="14.25">
      <c r="A7" s="345" t="s">
        <v>207</v>
      </c>
      <c r="B7" s="238"/>
      <c r="C7" s="71"/>
      <c r="D7" s="71"/>
      <c r="E7" s="71"/>
      <c r="F7" s="72"/>
      <c r="G7" s="2"/>
      <c r="H7" s="3"/>
      <c r="I7" s="3"/>
      <c r="J7" s="3"/>
      <c r="K7" s="1">
        <f t="shared" si="0"/>
        <v>0</v>
      </c>
      <c r="L7" s="2">
        <v>2.73</v>
      </c>
      <c r="M7" s="3"/>
      <c r="N7" s="3"/>
      <c r="O7" s="3"/>
      <c r="P7" s="1398">
        <v>0.0047</v>
      </c>
      <c r="Q7" s="2"/>
      <c r="R7" s="3"/>
      <c r="S7" s="3"/>
      <c r="T7" s="3"/>
      <c r="U7" s="4">
        <f t="shared" si="2"/>
        <v>0</v>
      </c>
      <c r="V7" s="2">
        <v>1.6</v>
      </c>
      <c r="W7" s="3"/>
      <c r="X7" s="3"/>
      <c r="Y7" s="3"/>
      <c r="Z7" s="4">
        <v>0.5</v>
      </c>
      <c r="AA7" s="304">
        <v>0.17</v>
      </c>
      <c r="AB7" s="327"/>
      <c r="AC7" s="305"/>
      <c r="AD7" s="3"/>
      <c r="AE7" s="224">
        <v>0.07</v>
      </c>
      <c r="AF7" s="304">
        <v>0.15</v>
      </c>
      <c r="AG7" s="305"/>
      <c r="AH7" s="305"/>
      <c r="AI7" s="305"/>
      <c r="AJ7" s="306">
        <v>0.06</v>
      </c>
      <c r="AK7" s="21">
        <v>15.7</v>
      </c>
      <c r="AL7" s="3"/>
      <c r="AM7" s="3"/>
      <c r="AN7" s="3"/>
      <c r="AO7" s="310">
        <v>0.0256</v>
      </c>
      <c r="AP7" s="2">
        <v>0.76</v>
      </c>
      <c r="AQ7" s="3"/>
      <c r="AR7" s="3"/>
      <c r="AS7" s="3"/>
      <c r="AT7" s="224">
        <v>0.18</v>
      </c>
      <c r="AU7" s="2">
        <v>5.67</v>
      </c>
      <c r="AV7" s="3"/>
      <c r="AW7" s="3"/>
      <c r="AX7" s="3"/>
      <c r="AY7" s="450">
        <v>0.0116</v>
      </c>
      <c r="AZ7" s="304"/>
      <c r="BA7" s="305"/>
      <c r="BB7" s="305"/>
      <c r="BC7" s="305"/>
      <c r="BD7" s="310">
        <f t="shared" si="6"/>
        <v>0</v>
      </c>
      <c r="BE7" s="2"/>
      <c r="BF7" s="3"/>
      <c r="BG7" s="3"/>
      <c r="BH7" s="3"/>
      <c r="BI7" s="4">
        <f t="shared" si="7"/>
        <v>0</v>
      </c>
      <c r="BJ7" s="307">
        <v>0.68</v>
      </c>
      <c r="BK7" s="308"/>
      <c r="BL7" s="308"/>
      <c r="BM7" s="308"/>
      <c r="BN7" s="309">
        <v>0.002</v>
      </c>
      <c r="BO7" s="2">
        <v>2.53</v>
      </c>
      <c r="BP7" s="3"/>
      <c r="BQ7" s="3"/>
      <c r="BR7" s="3">
        <v>7.05</v>
      </c>
      <c r="BS7" s="4">
        <v>0.0339</v>
      </c>
      <c r="BT7" s="2"/>
      <c r="BU7" s="3"/>
      <c r="BV7" s="3"/>
      <c r="BW7" s="3"/>
      <c r="BX7" s="4"/>
      <c r="BY7" s="21"/>
      <c r="BZ7" s="3"/>
      <c r="CA7" s="3"/>
      <c r="CB7" s="3"/>
      <c r="CC7" s="4"/>
      <c r="CD7" s="21"/>
      <c r="CE7" s="3"/>
      <c r="CF7" s="3"/>
      <c r="CG7" s="3"/>
      <c r="CH7" s="4">
        <f t="shared" si="10"/>
        <v>0</v>
      </c>
      <c r="CI7" s="2">
        <v>2.18</v>
      </c>
      <c r="CJ7" s="3"/>
      <c r="CK7" s="3"/>
      <c r="CL7" s="3">
        <v>1.68</v>
      </c>
      <c r="CM7" s="4">
        <v>0.0177</v>
      </c>
      <c r="CN7" s="26"/>
      <c r="CO7" s="3"/>
      <c r="CP7" s="3"/>
      <c r="CQ7" s="3"/>
      <c r="CR7" s="4">
        <f t="shared" si="12"/>
        <v>0</v>
      </c>
      <c r="CS7" s="21"/>
      <c r="CT7" s="3"/>
      <c r="CU7" s="300"/>
      <c r="CV7" s="300"/>
      <c r="CW7" s="301"/>
      <c r="CX7" s="302"/>
      <c r="CY7" s="226"/>
      <c r="CZ7" s="226"/>
      <c r="DA7" s="226"/>
      <c r="DB7" s="289">
        <f t="shared" si="13"/>
        <v>0</v>
      </c>
      <c r="DC7" s="303">
        <v>3.95</v>
      </c>
      <c r="DD7" s="227"/>
      <c r="DE7" s="227"/>
      <c r="DF7" s="227"/>
      <c r="DG7" s="292">
        <v>1.21</v>
      </c>
      <c r="DH7" s="2"/>
      <c r="DI7" s="3"/>
      <c r="DJ7" s="3"/>
      <c r="DK7" s="3"/>
      <c r="DL7" s="1"/>
      <c r="DM7" s="303"/>
      <c r="DN7" s="227"/>
      <c r="DO7" s="227"/>
      <c r="DP7" s="227"/>
      <c r="DQ7" s="292">
        <f t="shared" si="15"/>
        <v>0</v>
      </c>
    </row>
    <row r="8" spans="1:121" ht="14.25">
      <c r="A8" s="345" t="s">
        <v>191</v>
      </c>
      <c r="B8" s="238"/>
      <c r="C8" s="71"/>
      <c r="D8" s="71"/>
      <c r="E8" s="71"/>
      <c r="F8" s="72"/>
      <c r="G8" s="2"/>
      <c r="H8" s="3"/>
      <c r="I8" s="3"/>
      <c r="J8" s="3"/>
      <c r="K8" s="1">
        <f t="shared" si="0"/>
        <v>0</v>
      </c>
      <c r="L8" s="2">
        <v>24.07</v>
      </c>
      <c r="M8" s="3"/>
      <c r="N8" s="3"/>
      <c r="O8" s="3"/>
      <c r="P8" s="328">
        <f t="shared" si="1"/>
        <v>24.07</v>
      </c>
      <c r="Q8" s="2"/>
      <c r="R8" s="3"/>
      <c r="S8" s="3"/>
      <c r="T8" s="3"/>
      <c r="U8" s="4">
        <f t="shared" si="2"/>
        <v>0</v>
      </c>
      <c r="V8" s="2">
        <v>17.5</v>
      </c>
      <c r="W8" s="3"/>
      <c r="X8" s="3"/>
      <c r="Y8" s="3"/>
      <c r="Z8" s="4">
        <f t="shared" si="3"/>
        <v>17.5</v>
      </c>
      <c r="AA8" s="2">
        <v>500</v>
      </c>
      <c r="AB8" s="327"/>
      <c r="AC8" s="3"/>
      <c r="AD8" s="3"/>
      <c r="AE8" s="224">
        <v>500</v>
      </c>
      <c r="AF8" s="2">
        <v>18607.02</v>
      </c>
      <c r="AG8" s="3"/>
      <c r="AH8" s="3"/>
      <c r="AI8" s="3"/>
      <c r="AJ8" s="1">
        <v>18607.02</v>
      </c>
      <c r="AK8" s="21">
        <v>4145</v>
      </c>
      <c r="AL8" s="3"/>
      <c r="AM8" s="3"/>
      <c r="AN8" s="3"/>
      <c r="AO8" s="4">
        <f t="shared" si="4"/>
        <v>4145</v>
      </c>
      <c r="AP8" s="2">
        <v>2500</v>
      </c>
      <c r="AQ8" s="3"/>
      <c r="AR8" s="3"/>
      <c r="AS8" s="3"/>
      <c r="AT8" s="224">
        <f t="shared" si="5"/>
        <v>2500</v>
      </c>
      <c r="AU8" s="2">
        <v>42</v>
      </c>
      <c r="AV8" s="3"/>
      <c r="AW8" s="3"/>
      <c r="AX8" s="3"/>
      <c r="AY8" s="224">
        <v>42</v>
      </c>
      <c r="AZ8" s="2"/>
      <c r="BA8" s="305"/>
      <c r="BB8" s="3"/>
      <c r="BC8" s="3"/>
      <c r="BD8" s="4">
        <f t="shared" si="6"/>
        <v>0</v>
      </c>
      <c r="BE8" s="2"/>
      <c r="BF8" s="3"/>
      <c r="BG8" s="3"/>
      <c r="BH8" s="3"/>
      <c r="BI8" s="4">
        <f t="shared" si="7"/>
        <v>0</v>
      </c>
      <c r="BJ8" s="225">
        <v>1500</v>
      </c>
      <c r="BK8" s="5"/>
      <c r="BL8" s="5"/>
      <c r="BM8" s="5"/>
      <c r="BN8" s="1">
        <f t="shared" si="8"/>
        <v>1500</v>
      </c>
      <c r="BO8" s="2">
        <v>8048.33</v>
      </c>
      <c r="BP8" s="3"/>
      <c r="BQ8" s="3"/>
      <c r="BR8" s="3">
        <v>5277.7</v>
      </c>
      <c r="BS8" s="4">
        <f t="shared" si="9"/>
        <v>13326.029999999999</v>
      </c>
      <c r="BT8" s="2">
        <v>25</v>
      </c>
      <c r="BU8" s="3"/>
      <c r="BV8" s="3"/>
      <c r="BW8" s="3"/>
      <c r="BX8" s="4">
        <v>25</v>
      </c>
      <c r="BY8" s="21"/>
      <c r="BZ8" s="3"/>
      <c r="CA8" s="3"/>
      <c r="CB8" s="3"/>
      <c r="CC8" s="4"/>
      <c r="CD8" s="21"/>
      <c r="CE8" s="3"/>
      <c r="CF8" s="3"/>
      <c r="CG8" s="3"/>
      <c r="CH8" s="4">
        <f t="shared" si="10"/>
        <v>0</v>
      </c>
      <c r="CI8" s="2">
        <v>5963.23</v>
      </c>
      <c r="CJ8" s="3"/>
      <c r="CK8" s="3"/>
      <c r="CL8" s="3">
        <v>24370</v>
      </c>
      <c r="CM8" s="4">
        <f t="shared" si="11"/>
        <v>30333.23</v>
      </c>
      <c r="CN8" s="26"/>
      <c r="CO8" s="3"/>
      <c r="CP8" s="3"/>
      <c r="CQ8" s="3"/>
      <c r="CR8" s="4">
        <f t="shared" si="12"/>
        <v>0</v>
      </c>
      <c r="CS8" s="21"/>
      <c r="CT8" s="3"/>
      <c r="CU8" s="300"/>
      <c r="CV8" s="300"/>
      <c r="CW8" s="301"/>
      <c r="CX8" s="302"/>
      <c r="CY8" s="226"/>
      <c r="CZ8" s="226"/>
      <c r="DA8" s="226"/>
      <c r="DB8" s="289">
        <f t="shared" si="13"/>
        <v>0</v>
      </c>
      <c r="DC8" s="303">
        <v>83.2</v>
      </c>
      <c r="DD8" s="227"/>
      <c r="DE8" s="227"/>
      <c r="DF8" s="227"/>
      <c r="DG8" s="292">
        <f t="shared" si="14"/>
        <v>83.2</v>
      </c>
      <c r="DH8" s="2"/>
      <c r="DI8" s="3"/>
      <c r="DJ8" s="3"/>
      <c r="DK8" s="3"/>
      <c r="DL8" s="1"/>
      <c r="DM8" s="303"/>
      <c r="DN8" s="227"/>
      <c r="DO8" s="227"/>
      <c r="DP8" s="227"/>
      <c r="DQ8" s="292">
        <f t="shared" si="15"/>
        <v>0</v>
      </c>
    </row>
    <row r="9" spans="1:121" ht="14.25">
      <c r="A9" s="345" t="s">
        <v>208</v>
      </c>
      <c r="B9" s="238"/>
      <c r="C9" s="71"/>
      <c r="D9" s="71"/>
      <c r="E9" s="71"/>
      <c r="F9" s="72"/>
      <c r="G9" s="2"/>
      <c r="H9" s="3"/>
      <c r="I9" s="3"/>
      <c r="J9" s="3"/>
      <c r="K9" s="1">
        <f t="shared" si="0"/>
        <v>0</v>
      </c>
      <c r="L9" s="2">
        <v>75.04</v>
      </c>
      <c r="M9" s="3"/>
      <c r="N9" s="3"/>
      <c r="O9" s="3"/>
      <c r="P9" s="328">
        <f t="shared" si="1"/>
        <v>75.04</v>
      </c>
      <c r="Q9" s="2"/>
      <c r="R9" s="3"/>
      <c r="S9" s="3"/>
      <c r="T9" s="3"/>
      <c r="U9" s="4">
        <f t="shared" si="2"/>
        <v>0</v>
      </c>
      <c r="V9" s="2">
        <v>50</v>
      </c>
      <c r="W9" s="3"/>
      <c r="X9" s="3"/>
      <c r="Y9" s="3"/>
      <c r="Z9" s="4">
        <f t="shared" si="3"/>
        <v>50</v>
      </c>
      <c r="AA9" s="304">
        <v>1</v>
      </c>
      <c r="AB9" s="327"/>
      <c r="AC9" s="305"/>
      <c r="AD9" s="3"/>
      <c r="AE9" s="224">
        <v>100</v>
      </c>
      <c r="AF9" s="2">
        <v>80</v>
      </c>
      <c r="AG9" s="3"/>
      <c r="AH9" s="3"/>
      <c r="AI9" s="3"/>
      <c r="AJ9" s="1">
        <v>80</v>
      </c>
      <c r="AK9" s="21">
        <v>62.51</v>
      </c>
      <c r="AL9" s="3"/>
      <c r="AM9" s="3"/>
      <c r="AN9" s="3"/>
      <c r="AO9" s="310">
        <v>0.6251</v>
      </c>
      <c r="AP9" s="2">
        <v>100</v>
      </c>
      <c r="AQ9" s="3"/>
      <c r="AR9" s="3"/>
      <c r="AS9" s="3"/>
      <c r="AT9" s="224">
        <f t="shared" si="5"/>
        <v>100</v>
      </c>
      <c r="AU9" s="2">
        <v>100</v>
      </c>
      <c r="AV9" s="3"/>
      <c r="AW9" s="3"/>
      <c r="AX9" s="3"/>
      <c r="AY9" s="450">
        <v>1</v>
      </c>
      <c r="AZ9" s="304"/>
      <c r="BA9" s="305"/>
      <c r="BB9" s="305"/>
      <c r="BC9" s="305"/>
      <c r="BD9" s="310">
        <f t="shared" si="6"/>
        <v>0</v>
      </c>
      <c r="BE9" s="2"/>
      <c r="BF9" s="3"/>
      <c r="BG9" s="3"/>
      <c r="BH9" s="3"/>
      <c r="BI9" s="4">
        <f t="shared" si="7"/>
        <v>0</v>
      </c>
      <c r="BJ9" s="225">
        <v>100</v>
      </c>
      <c r="BK9" s="5"/>
      <c r="BL9" s="5"/>
      <c r="BM9" s="5"/>
      <c r="BN9" s="1391">
        <v>1</v>
      </c>
      <c r="BO9" s="2">
        <v>100</v>
      </c>
      <c r="BP9" s="3"/>
      <c r="BQ9" s="3"/>
      <c r="BR9" s="3">
        <v>100</v>
      </c>
      <c r="BS9" s="4">
        <v>1</v>
      </c>
      <c r="BT9" s="2">
        <v>1</v>
      </c>
      <c r="BU9" s="3"/>
      <c r="BV9" s="3"/>
      <c r="BW9" s="3"/>
      <c r="BX9" s="4">
        <v>1</v>
      </c>
      <c r="BY9" s="21"/>
      <c r="BZ9" s="3"/>
      <c r="CA9" s="3"/>
      <c r="CB9" s="3"/>
      <c r="CC9" s="4"/>
      <c r="CD9" s="21"/>
      <c r="CE9" s="3"/>
      <c r="CF9" s="3"/>
      <c r="CG9" s="3"/>
      <c r="CH9" s="4">
        <f t="shared" si="10"/>
        <v>0</v>
      </c>
      <c r="CI9" s="2">
        <v>75</v>
      </c>
      <c r="CJ9" s="3"/>
      <c r="CK9" s="3"/>
      <c r="CL9" s="3">
        <v>100</v>
      </c>
      <c r="CM9" s="4">
        <v>0.9385</v>
      </c>
      <c r="CN9" s="26"/>
      <c r="CO9" s="3"/>
      <c r="CP9" s="3"/>
      <c r="CQ9" s="3"/>
      <c r="CR9" s="4">
        <f t="shared" si="12"/>
        <v>0</v>
      </c>
      <c r="CS9" s="21"/>
      <c r="CT9" s="3"/>
      <c r="CU9" s="300"/>
      <c r="CV9" s="300"/>
      <c r="CW9" s="301"/>
      <c r="CX9" s="302"/>
      <c r="CY9" s="226"/>
      <c r="CZ9" s="226"/>
      <c r="DA9" s="226"/>
      <c r="DB9" s="289">
        <f t="shared" si="13"/>
        <v>0</v>
      </c>
      <c r="DC9" s="303">
        <v>100</v>
      </c>
      <c r="DD9" s="227"/>
      <c r="DE9" s="227"/>
      <c r="DF9" s="227"/>
      <c r="DG9" s="292">
        <f t="shared" si="14"/>
        <v>100</v>
      </c>
      <c r="DH9" s="2"/>
      <c r="DI9" s="3"/>
      <c r="DJ9" s="3"/>
      <c r="DK9" s="3"/>
      <c r="DL9" s="1"/>
      <c r="DM9" s="303"/>
      <c r="DN9" s="227"/>
      <c r="DO9" s="227"/>
      <c r="DP9" s="227"/>
      <c r="DQ9" s="292">
        <f t="shared" si="15"/>
        <v>0</v>
      </c>
    </row>
    <row r="10" spans="1:121" ht="14.25">
      <c r="A10" s="345" t="s">
        <v>192</v>
      </c>
      <c r="B10" s="96"/>
      <c r="C10" s="43"/>
      <c r="D10" s="43"/>
      <c r="E10" s="43"/>
      <c r="F10" s="87"/>
      <c r="G10" s="7"/>
      <c r="H10" s="8"/>
      <c r="I10" s="8"/>
      <c r="J10" s="8"/>
      <c r="K10" s="1">
        <f t="shared" si="0"/>
        <v>0</v>
      </c>
      <c r="L10" s="7"/>
      <c r="M10" s="8"/>
      <c r="N10" s="8"/>
      <c r="O10" s="8">
        <v>6.41</v>
      </c>
      <c r="P10" s="328">
        <f t="shared" si="1"/>
        <v>6.41</v>
      </c>
      <c r="Q10" s="7"/>
      <c r="R10" s="8"/>
      <c r="S10" s="8"/>
      <c r="T10" s="8"/>
      <c r="U10" s="9">
        <f t="shared" si="2"/>
        <v>0</v>
      </c>
      <c r="V10" s="7"/>
      <c r="W10" s="8"/>
      <c r="X10" s="8"/>
      <c r="Y10" s="8"/>
      <c r="Z10" s="9">
        <f t="shared" si="3"/>
        <v>0</v>
      </c>
      <c r="AA10" s="7"/>
      <c r="AB10" s="327"/>
      <c r="AC10" s="8"/>
      <c r="AD10" s="8"/>
      <c r="AE10" s="99">
        <f>SUM(AA10:AD10)</f>
        <v>0</v>
      </c>
      <c r="AF10" s="7"/>
      <c r="AG10" s="8"/>
      <c r="AH10" s="8"/>
      <c r="AI10" s="8"/>
      <c r="AJ10" s="1"/>
      <c r="AK10" s="36"/>
      <c r="AL10" s="8"/>
      <c r="AM10" s="8"/>
      <c r="AN10" s="8"/>
      <c r="AO10" s="9">
        <f t="shared" si="4"/>
        <v>0</v>
      </c>
      <c r="AP10" s="7"/>
      <c r="AQ10" s="8"/>
      <c r="AR10" s="8"/>
      <c r="AS10" s="8"/>
      <c r="AT10" s="99">
        <f t="shared" si="5"/>
        <v>0</v>
      </c>
      <c r="AU10" s="7"/>
      <c r="AV10" s="8"/>
      <c r="AW10" s="8"/>
      <c r="AX10" s="8"/>
      <c r="AY10" s="99">
        <f>SUM(AU10:AX10)</f>
        <v>0</v>
      </c>
      <c r="AZ10" s="7"/>
      <c r="BA10" s="451"/>
      <c r="BB10" s="8"/>
      <c r="BC10" s="8"/>
      <c r="BD10" s="9">
        <f t="shared" si="6"/>
        <v>0</v>
      </c>
      <c r="BE10" s="7"/>
      <c r="BF10" s="8"/>
      <c r="BG10" s="8"/>
      <c r="BH10" s="8"/>
      <c r="BI10" s="9">
        <f t="shared" si="7"/>
        <v>0</v>
      </c>
      <c r="BJ10" s="225"/>
      <c r="BK10" s="5"/>
      <c r="BL10" s="5"/>
      <c r="BM10" s="5"/>
      <c r="BN10" s="1">
        <f t="shared" si="8"/>
        <v>0</v>
      </c>
      <c r="BO10" s="7"/>
      <c r="BP10" s="8"/>
      <c r="BQ10" s="8"/>
      <c r="BR10" s="8"/>
      <c r="BS10" s="9">
        <f t="shared" si="9"/>
        <v>0</v>
      </c>
      <c r="BT10" s="1054"/>
      <c r="BU10" s="104"/>
      <c r="BV10" s="104"/>
      <c r="BW10" s="104"/>
      <c r="BX10" s="1055"/>
      <c r="BY10" s="36"/>
      <c r="BZ10" s="8"/>
      <c r="CA10" s="8"/>
      <c r="CB10" s="8"/>
      <c r="CC10" s="9"/>
      <c r="CD10" s="36"/>
      <c r="CE10" s="8"/>
      <c r="CF10" s="8"/>
      <c r="CG10" s="8"/>
      <c r="CH10" s="9">
        <f t="shared" si="10"/>
        <v>0</v>
      </c>
      <c r="CI10" s="7"/>
      <c r="CJ10" s="8"/>
      <c r="CK10" s="8"/>
      <c r="CL10" s="8"/>
      <c r="CM10" s="9"/>
      <c r="CN10" s="26"/>
      <c r="CO10" s="3"/>
      <c r="CP10" s="3"/>
      <c r="CQ10" s="3"/>
      <c r="CR10" s="4">
        <f t="shared" si="12"/>
        <v>0</v>
      </c>
      <c r="CS10" s="21"/>
      <c r="CT10" s="300">
        <v>98.17</v>
      </c>
      <c r="CU10" s="300"/>
      <c r="CV10" s="300"/>
      <c r="CW10" s="301">
        <f>SUM(CS10:CV10)</f>
        <v>98.17</v>
      </c>
      <c r="CX10" s="302"/>
      <c r="CY10" s="226"/>
      <c r="CZ10" s="226"/>
      <c r="DA10" s="226"/>
      <c r="DB10" s="289">
        <f t="shared" si="13"/>
        <v>0</v>
      </c>
      <c r="DC10" s="303"/>
      <c r="DD10" s="227"/>
      <c r="DE10" s="227"/>
      <c r="DF10" s="227"/>
      <c r="DG10" s="292">
        <f t="shared" si="14"/>
        <v>0</v>
      </c>
      <c r="DH10" s="7"/>
      <c r="DI10" s="8"/>
      <c r="DJ10" s="8"/>
      <c r="DK10" s="8"/>
      <c r="DL10" s="1"/>
      <c r="DM10" s="7"/>
      <c r="DN10" s="8"/>
      <c r="DO10" s="8"/>
      <c r="DP10" s="8"/>
      <c r="DQ10" s="9">
        <f t="shared" si="15"/>
        <v>0</v>
      </c>
    </row>
    <row r="11" spans="1:121" s="98" customFormat="1" ht="13.5">
      <c r="A11" s="345" t="s">
        <v>209</v>
      </c>
      <c r="B11" s="96">
        <f>B5</f>
        <v>68440020.52</v>
      </c>
      <c r="C11" s="96">
        <f>C5</f>
        <v>197556.66</v>
      </c>
      <c r="D11" s="96">
        <f>D5</f>
        <v>630983.23</v>
      </c>
      <c r="E11" s="96">
        <f>E5</f>
        <v>113078014.66</v>
      </c>
      <c r="F11" s="96">
        <f>F5</f>
        <v>182346575.07</v>
      </c>
      <c r="G11" s="7"/>
      <c r="H11" s="8"/>
      <c r="I11" s="8"/>
      <c r="J11" s="8"/>
      <c r="K11" s="1">
        <f t="shared" si="0"/>
        <v>0</v>
      </c>
      <c r="L11" s="7">
        <v>1152.67</v>
      </c>
      <c r="M11" s="7"/>
      <c r="N11" s="7">
        <f>N5</f>
        <v>169.62</v>
      </c>
      <c r="O11" s="7">
        <v>5544</v>
      </c>
      <c r="P11" s="328">
        <f t="shared" si="1"/>
        <v>6866.29</v>
      </c>
      <c r="Q11" s="7">
        <f>Q5</f>
        <v>6821.02</v>
      </c>
      <c r="R11" s="7"/>
      <c r="S11" s="7">
        <f>S5</f>
        <v>3769.07</v>
      </c>
      <c r="T11" s="7">
        <f>T5</f>
        <v>22791.81</v>
      </c>
      <c r="U11" s="7">
        <f t="shared" si="2"/>
        <v>33381.9</v>
      </c>
      <c r="V11" s="7">
        <v>2192.33</v>
      </c>
      <c r="W11" s="7"/>
      <c r="X11" s="7">
        <f>X5</f>
        <v>288.69</v>
      </c>
      <c r="Y11" s="7">
        <f>Y5</f>
        <v>4921.43</v>
      </c>
      <c r="Z11" s="7">
        <f t="shared" si="3"/>
        <v>7402.450000000001</v>
      </c>
      <c r="AA11" s="7">
        <v>294418</v>
      </c>
      <c r="AB11" s="327"/>
      <c r="AC11" s="7"/>
      <c r="AD11" s="7">
        <f>AD5</f>
        <v>420124</v>
      </c>
      <c r="AE11" s="1066">
        <v>714543</v>
      </c>
      <c r="AF11" s="7">
        <v>134568.05</v>
      </c>
      <c r="AG11" s="8"/>
      <c r="AH11" s="8"/>
      <c r="AI11" s="8">
        <f>AI5</f>
        <v>249660.47</v>
      </c>
      <c r="AJ11" s="9">
        <v>384228.52</v>
      </c>
      <c r="AK11" s="1068">
        <v>38089</v>
      </c>
      <c r="AL11" s="8"/>
      <c r="AM11" s="8">
        <f>AM5</f>
        <v>31150</v>
      </c>
      <c r="AN11" s="8">
        <f>AN5</f>
        <v>185287</v>
      </c>
      <c r="AO11" s="36">
        <f t="shared" si="4"/>
        <v>254526</v>
      </c>
      <c r="AP11" s="1066">
        <v>327140</v>
      </c>
      <c r="AQ11" s="35">
        <f>AQ5</f>
        <v>53301</v>
      </c>
      <c r="AR11" s="8">
        <f>AR5</f>
        <v>941085</v>
      </c>
      <c r="AS11" s="8">
        <f>AS5</f>
        <v>55112</v>
      </c>
      <c r="AT11" s="37">
        <f t="shared" si="5"/>
        <v>1376638</v>
      </c>
      <c r="AU11" s="1066">
        <v>698.12</v>
      </c>
      <c r="AV11" s="8"/>
      <c r="AW11" s="8">
        <f>AW5</f>
        <v>165.87</v>
      </c>
      <c r="AX11" s="8">
        <f>AX5</f>
        <v>2711.83</v>
      </c>
      <c r="AY11" s="1068">
        <f>SUM(AU11:AX11)</f>
        <v>3575.8199999999997</v>
      </c>
      <c r="AZ11" s="7">
        <f>AZ5</f>
        <v>1301256</v>
      </c>
      <c r="BA11" s="451"/>
      <c r="BB11" s="8">
        <f aca="true" t="shared" si="16" ref="BB11:BH11">BB5</f>
        <v>338657.69</v>
      </c>
      <c r="BC11" s="327">
        <f t="shared" si="16"/>
        <v>4210715.55</v>
      </c>
      <c r="BD11" s="9">
        <f t="shared" si="16"/>
        <v>5850629.24</v>
      </c>
      <c r="BE11" s="7">
        <f t="shared" si="16"/>
        <v>1129164.89</v>
      </c>
      <c r="BF11" s="7">
        <f t="shared" si="16"/>
        <v>66282.06</v>
      </c>
      <c r="BG11" s="7">
        <f t="shared" si="16"/>
        <v>340748.33</v>
      </c>
      <c r="BH11" s="7">
        <f t="shared" si="16"/>
        <v>4636741.77</v>
      </c>
      <c r="BI11" s="7">
        <f t="shared" si="7"/>
        <v>6172937.05</v>
      </c>
      <c r="BJ11" s="7">
        <v>217708.5</v>
      </c>
      <c r="BK11" s="7">
        <f>BK5</f>
        <v>980.54</v>
      </c>
      <c r="BL11" s="7">
        <f>BL5</f>
        <v>70279.75</v>
      </c>
      <c r="BM11" s="7">
        <f>BM5</f>
        <v>468590.74</v>
      </c>
      <c r="BN11" s="7">
        <f t="shared" si="8"/>
        <v>757559.53</v>
      </c>
      <c r="BO11" s="7">
        <v>309469.97</v>
      </c>
      <c r="BP11" s="8"/>
      <c r="BQ11" s="8">
        <f>BQ5</f>
        <v>1086.9</v>
      </c>
      <c r="BR11" s="8">
        <v>69549.67</v>
      </c>
      <c r="BS11" s="9">
        <f t="shared" si="9"/>
        <v>380106.54</v>
      </c>
      <c r="BT11" s="7">
        <v>1974.9</v>
      </c>
      <c r="BU11" s="7">
        <f>BU5</f>
        <v>0</v>
      </c>
      <c r="BV11" s="7">
        <f>BV5</f>
        <v>764.5</v>
      </c>
      <c r="BW11" s="7">
        <f>BW5</f>
        <v>22228.3</v>
      </c>
      <c r="BX11" s="7">
        <v>24967.8</v>
      </c>
      <c r="BY11" s="36">
        <f>BY5</f>
        <v>11840</v>
      </c>
      <c r="BZ11" s="8"/>
      <c r="CA11" s="8">
        <f>CA5</f>
        <v>51</v>
      </c>
      <c r="CB11" s="8">
        <f>CB5</f>
        <v>47293</v>
      </c>
      <c r="CC11" s="9">
        <f>CC5</f>
        <v>59193</v>
      </c>
      <c r="CD11" s="36"/>
      <c r="CE11" s="8"/>
      <c r="CF11" s="8"/>
      <c r="CG11" s="8"/>
      <c r="CH11" s="9">
        <f t="shared" si="10"/>
        <v>0</v>
      </c>
      <c r="CI11" s="1066">
        <v>359255.19</v>
      </c>
      <c r="CJ11" s="8"/>
      <c r="CK11" s="8">
        <f>CK5</f>
        <v>7350.09</v>
      </c>
      <c r="CL11" s="36">
        <v>1425753.64</v>
      </c>
      <c r="CM11" s="602">
        <f t="shared" si="11"/>
        <v>1792358.92</v>
      </c>
      <c r="CN11" s="329"/>
      <c r="CO11" s="8"/>
      <c r="CP11" s="8"/>
      <c r="CQ11" s="8"/>
      <c r="CR11" s="9">
        <f t="shared" si="12"/>
        <v>0</v>
      </c>
      <c r="CS11" s="330">
        <f>CS5</f>
        <v>1600767.99</v>
      </c>
      <c r="CT11" s="330">
        <v>35905.98</v>
      </c>
      <c r="CU11" s="330">
        <f>CU5</f>
        <v>444037.62</v>
      </c>
      <c r="CV11" s="331">
        <f>CV5</f>
        <v>3943076.62</v>
      </c>
      <c r="CW11" s="1056">
        <f>SUM(CS11:CV11)</f>
        <v>6023788.21</v>
      </c>
      <c r="CX11" s="1058">
        <f>CX5</f>
        <v>2067.22</v>
      </c>
      <c r="CY11" s="1060"/>
      <c r="CZ11" s="1060">
        <f>CZ5</f>
        <v>70.71</v>
      </c>
      <c r="DA11" s="1060">
        <f>DA5</f>
        <v>3009.53</v>
      </c>
      <c r="DB11" s="1059">
        <f t="shared" si="13"/>
        <v>5147.46</v>
      </c>
      <c r="DC11" s="101">
        <v>2021.37</v>
      </c>
      <c r="DD11" s="332"/>
      <c r="DE11" s="332">
        <v>263.45</v>
      </c>
      <c r="DF11" s="332">
        <v>4532.33</v>
      </c>
      <c r="DG11" s="1057">
        <f t="shared" si="14"/>
        <v>6817.15</v>
      </c>
      <c r="DH11" s="7">
        <f>DH5</f>
        <v>552066.12</v>
      </c>
      <c r="DI11" s="8"/>
      <c r="DJ11" s="8">
        <f>DJ5</f>
        <v>86044.42</v>
      </c>
      <c r="DK11" s="8">
        <f>DK5</f>
        <v>2055548.09</v>
      </c>
      <c r="DL11" s="1">
        <f>DL5</f>
        <v>2693658.63</v>
      </c>
      <c r="DM11" s="101"/>
      <c r="DN11" s="102"/>
      <c r="DO11" s="102"/>
      <c r="DP11" s="102"/>
      <c r="DQ11" s="103">
        <f t="shared" si="15"/>
        <v>0</v>
      </c>
    </row>
    <row r="12" spans="1:121" ht="14.25">
      <c r="A12" s="345" t="s">
        <v>210</v>
      </c>
      <c r="B12" s="238"/>
      <c r="C12" s="71"/>
      <c r="D12" s="71"/>
      <c r="E12" s="71"/>
      <c r="F12" s="72"/>
      <c r="G12" s="2"/>
      <c r="H12" s="3"/>
      <c r="I12" s="3"/>
      <c r="J12" s="3"/>
      <c r="K12" s="1">
        <f t="shared" si="0"/>
        <v>0</v>
      </c>
      <c r="L12" s="2">
        <v>8.01</v>
      </c>
      <c r="M12" s="3"/>
      <c r="N12" s="3"/>
      <c r="O12" s="3"/>
      <c r="P12" s="328">
        <f t="shared" si="1"/>
        <v>8.01</v>
      </c>
      <c r="Q12" s="2"/>
      <c r="R12" s="2"/>
      <c r="S12" s="2"/>
      <c r="T12" s="2"/>
      <c r="U12" s="2">
        <f t="shared" si="2"/>
        <v>0</v>
      </c>
      <c r="V12" s="2">
        <v>1750</v>
      </c>
      <c r="W12" s="3"/>
      <c r="X12" s="3"/>
      <c r="Y12" s="3"/>
      <c r="Z12" s="4">
        <f t="shared" si="3"/>
        <v>1750</v>
      </c>
      <c r="AA12" s="2"/>
      <c r="AB12" s="327"/>
      <c r="AC12" s="3"/>
      <c r="AD12" s="3"/>
      <c r="AE12" s="224">
        <f>SUM(AA12:AD12)</f>
        <v>0</v>
      </c>
      <c r="AF12" s="2">
        <v>4557.32</v>
      </c>
      <c r="AG12" s="3"/>
      <c r="AH12" s="3"/>
      <c r="AI12" s="3"/>
      <c r="AJ12" s="97">
        <v>4557.32</v>
      </c>
      <c r="AK12" s="21">
        <v>2486</v>
      </c>
      <c r="AL12" s="3"/>
      <c r="AM12" s="3"/>
      <c r="AN12" s="3"/>
      <c r="AO12" s="4">
        <f t="shared" si="4"/>
        <v>2486</v>
      </c>
      <c r="AP12" s="2"/>
      <c r="AQ12" s="3"/>
      <c r="AR12" s="3"/>
      <c r="AS12" s="3"/>
      <c r="AT12" s="224"/>
      <c r="AU12" s="2"/>
      <c r="AV12" s="3"/>
      <c r="AW12" s="3"/>
      <c r="AX12" s="3"/>
      <c r="AY12" s="224">
        <f>SUM(AU12:AX12)</f>
        <v>0</v>
      </c>
      <c r="AZ12" s="2"/>
      <c r="BA12" s="305"/>
      <c r="BB12" s="3"/>
      <c r="BC12" s="3"/>
      <c r="BD12" s="4">
        <f t="shared" si="6"/>
        <v>0</v>
      </c>
      <c r="BE12" s="2"/>
      <c r="BF12" s="3"/>
      <c r="BG12" s="3"/>
      <c r="BH12" s="3"/>
      <c r="BI12" s="4">
        <f t="shared" si="7"/>
        <v>0</v>
      </c>
      <c r="BJ12" s="2"/>
      <c r="BK12" s="3"/>
      <c r="BL12" s="3"/>
      <c r="BM12" s="3"/>
      <c r="BN12" s="4"/>
      <c r="BO12" s="2"/>
      <c r="BP12" s="3"/>
      <c r="BQ12" s="3"/>
      <c r="BR12" s="3"/>
      <c r="BS12" s="4"/>
      <c r="BT12" s="2"/>
      <c r="BU12" s="3"/>
      <c r="BV12" s="3"/>
      <c r="BW12" s="3"/>
      <c r="BX12" s="4"/>
      <c r="BY12" s="21"/>
      <c r="BZ12" s="3"/>
      <c r="CA12" s="3"/>
      <c r="CB12" s="3"/>
      <c r="CC12" s="4"/>
      <c r="CD12" s="21"/>
      <c r="CE12" s="3"/>
      <c r="CF12" s="3"/>
      <c r="CG12" s="3"/>
      <c r="CH12" s="4">
        <f t="shared" si="10"/>
        <v>0</v>
      </c>
      <c r="CI12" s="2">
        <v>1987.74</v>
      </c>
      <c r="CJ12" s="3"/>
      <c r="CK12" s="3"/>
      <c r="CL12" s="3"/>
      <c r="CM12" s="4">
        <f t="shared" si="11"/>
        <v>1987.74</v>
      </c>
      <c r="CN12" s="26"/>
      <c r="CO12" s="3"/>
      <c r="CP12" s="3"/>
      <c r="CQ12" s="3"/>
      <c r="CR12" s="4">
        <f t="shared" si="12"/>
        <v>0</v>
      </c>
      <c r="CS12" s="16"/>
      <c r="CT12" s="17"/>
      <c r="CU12" s="17"/>
      <c r="CV12" s="17"/>
      <c r="CW12" s="18"/>
      <c r="CX12" s="302"/>
      <c r="CY12" s="226"/>
      <c r="CZ12" s="226"/>
      <c r="DA12" s="226"/>
      <c r="DB12" s="289">
        <f t="shared" si="13"/>
        <v>0</v>
      </c>
      <c r="DC12" s="303"/>
      <c r="DD12" s="227"/>
      <c r="DE12" s="227"/>
      <c r="DF12" s="227"/>
      <c r="DG12" s="292"/>
      <c r="DH12" s="2"/>
      <c r="DI12" s="3"/>
      <c r="DJ12" s="3"/>
      <c r="DK12" s="3"/>
      <c r="DL12" s="1"/>
      <c r="DM12" s="303"/>
      <c r="DN12" s="227"/>
      <c r="DO12" s="227"/>
      <c r="DP12" s="227"/>
      <c r="DQ12" s="292">
        <f t="shared" si="15"/>
        <v>0</v>
      </c>
    </row>
    <row r="13" spans="1:121" ht="14.25">
      <c r="A13" s="345" t="s">
        <v>211</v>
      </c>
      <c r="B13" s="238"/>
      <c r="C13" s="71"/>
      <c r="D13" s="71"/>
      <c r="E13" s="71"/>
      <c r="F13" s="72"/>
      <c r="G13" s="2"/>
      <c r="H13" s="3"/>
      <c r="I13" s="3"/>
      <c r="J13" s="3"/>
      <c r="K13" s="1">
        <f t="shared" si="0"/>
        <v>0</v>
      </c>
      <c r="L13" s="2">
        <v>0.69</v>
      </c>
      <c r="M13" s="3"/>
      <c r="N13" s="3"/>
      <c r="O13" s="3"/>
      <c r="P13" s="1398">
        <v>0.0012</v>
      </c>
      <c r="Q13" s="2"/>
      <c r="R13" s="3"/>
      <c r="S13" s="3"/>
      <c r="T13" s="3"/>
      <c r="U13" s="4">
        <f t="shared" si="2"/>
        <v>0</v>
      </c>
      <c r="V13" s="2">
        <v>0.8</v>
      </c>
      <c r="W13" s="3"/>
      <c r="X13" s="3"/>
      <c r="Y13" s="3"/>
      <c r="Z13" s="4">
        <v>0.24</v>
      </c>
      <c r="AA13" s="304"/>
      <c r="AB13" s="327"/>
      <c r="AC13" s="305"/>
      <c r="AD13" s="3"/>
      <c r="AE13" s="224">
        <f>SUM(AA13:AD13)</f>
        <v>0</v>
      </c>
      <c r="AF13" s="304">
        <v>0.0339</v>
      </c>
      <c r="AG13" s="305"/>
      <c r="AH13" s="305"/>
      <c r="AI13" s="305"/>
      <c r="AJ13" s="306">
        <v>0.01</v>
      </c>
      <c r="AK13" s="21">
        <v>6.53</v>
      </c>
      <c r="AL13" s="3"/>
      <c r="AM13" s="3"/>
      <c r="AN13" s="3"/>
      <c r="AO13" s="310">
        <v>0.0098</v>
      </c>
      <c r="AP13" s="2"/>
      <c r="AQ13" s="3"/>
      <c r="AR13" s="3"/>
      <c r="AS13" s="3"/>
      <c r="AT13" s="224"/>
      <c r="AU13" s="2"/>
      <c r="AV13" s="3"/>
      <c r="AW13" s="3"/>
      <c r="AX13" s="3"/>
      <c r="AY13" s="450">
        <f>SUM(AU13:AX13)</f>
        <v>0</v>
      </c>
      <c r="AZ13" s="304"/>
      <c r="BA13" s="305"/>
      <c r="BB13" s="305"/>
      <c r="BC13" s="305"/>
      <c r="BD13" s="310">
        <f t="shared" si="6"/>
        <v>0</v>
      </c>
      <c r="BE13" s="2"/>
      <c r="BF13" s="3"/>
      <c r="BG13" s="3"/>
      <c r="BH13" s="3"/>
      <c r="BI13" s="4">
        <f t="shared" si="7"/>
        <v>0</v>
      </c>
      <c r="BJ13" s="304"/>
      <c r="BK13" s="305"/>
      <c r="BL13" s="305"/>
      <c r="BM13" s="305"/>
      <c r="BN13" s="310"/>
      <c r="BO13" s="2"/>
      <c r="BP13" s="3"/>
      <c r="BQ13" s="3"/>
      <c r="BR13" s="3"/>
      <c r="BS13" s="4"/>
      <c r="BT13" s="2"/>
      <c r="BU13" s="3"/>
      <c r="BV13" s="3"/>
      <c r="BW13" s="3"/>
      <c r="BX13" s="4"/>
      <c r="BY13" s="21"/>
      <c r="BZ13" s="3"/>
      <c r="CA13" s="3"/>
      <c r="CB13" s="3"/>
      <c r="CC13" s="4"/>
      <c r="CD13" s="21"/>
      <c r="CE13" s="3"/>
      <c r="CF13" s="3"/>
      <c r="CG13" s="3"/>
      <c r="CH13" s="4">
        <f t="shared" si="10"/>
        <v>0</v>
      </c>
      <c r="CI13" s="2">
        <v>0.55</v>
      </c>
      <c r="CJ13" s="3"/>
      <c r="CK13" s="3"/>
      <c r="CL13" s="3"/>
      <c r="CM13" s="4">
        <v>0.0011</v>
      </c>
      <c r="CN13" s="26"/>
      <c r="CO13" s="3"/>
      <c r="CP13" s="3"/>
      <c r="CQ13" s="3"/>
      <c r="CR13" s="4">
        <f t="shared" si="12"/>
        <v>0</v>
      </c>
      <c r="CS13" s="16"/>
      <c r="CT13" s="17"/>
      <c r="CU13" s="17"/>
      <c r="CV13" s="17"/>
      <c r="CW13" s="18"/>
      <c r="CX13" s="302"/>
      <c r="CY13" s="226"/>
      <c r="CZ13" s="226"/>
      <c r="DA13" s="226"/>
      <c r="DB13" s="289">
        <f t="shared" si="13"/>
        <v>0</v>
      </c>
      <c r="DC13" s="303">
        <v>0</v>
      </c>
      <c r="DD13" s="227"/>
      <c r="DE13" s="227"/>
      <c r="DF13" s="227"/>
      <c r="DG13" s="292">
        <f t="shared" si="14"/>
        <v>0</v>
      </c>
      <c r="DH13" s="2"/>
      <c r="DI13" s="3"/>
      <c r="DJ13" s="3"/>
      <c r="DK13" s="3"/>
      <c r="DL13" s="1"/>
      <c r="DM13" s="303"/>
      <c r="DN13" s="227"/>
      <c r="DO13" s="227"/>
      <c r="DP13" s="227"/>
      <c r="DQ13" s="292">
        <f t="shared" si="15"/>
        <v>0</v>
      </c>
    </row>
    <row r="14" spans="1:121" ht="15" thickBot="1">
      <c r="A14" s="346" t="s">
        <v>193</v>
      </c>
      <c r="B14" s="343"/>
      <c r="C14" s="311"/>
      <c r="D14" s="311"/>
      <c r="E14" s="311"/>
      <c r="F14" s="340"/>
      <c r="G14" s="312"/>
      <c r="H14" s="10"/>
      <c r="I14" s="10"/>
      <c r="J14" s="10"/>
      <c r="K14" s="407">
        <f t="shared" si="0"/>
        <v>0</v>
      </c>
      <c r="L14" s="312"/>
      <c r="M14" s="10"/>
      <c r="N14" s="10"/>
      <c r="O14" s="10"/>
      <c r="P14" s="1392"/>
      <c r="Q14" s="312"/>
      <c r="R14" s="10"/>
      <c r="S14" s="10"/>
      <c r="T14" s="10"/>
      <c r="U14" s="313">
        <f t="shared" si="2"/>
        <v>0</v>
      </c>
      <c r="V14" s="312"/>
      <c r="W14" s="10"/>
      <c r="X14" s="10"/>
      <c r="Y14" s="10"/>
      <c r="Z14" s="313"/>
      <c r="AA14" s="312"/>
      <c r="AB14" s="603"/>
      <c r="AC14" s="10"/>
      <c r="AD14" s="10"/>
      <c r="AE14" s="314">
        <f>SUM(AA14:AD14)</f>
        <v>0</v>
      </c>
      <c r="AF14" s="312"/>
      <c r="AG14" s="10"/>
      <c r="AH14" s="10"/>
      <c r="AI14" s="10"/>
      <c r="AJ14" s="407"/>
      <c r="AK14" s="315"/>
      <c r="AL14" s="10"/>
      <c r="AM14" s="10"/>
      <c r="AN14" s="10"/>
      <c r="AO14" s="313">
        <f t="shared" si="4"/>
        <v>0</v>
      </c>
      <c r="AP14" s="312"/>
      <c r="AQ14" s="10"/>
      <c r="AR14" s="10"/>
      <c r="AS14" s="10"/>
      <c r="AT14" s="314"/>
      <c r="AU14" s="312"/>
      <c r="AV14" s="10"/>
      <c r="AW14" s="10"/>
      <c r="AX14" s="10"/>
      <c r="AY14" s="314">
        <f>SUM(AU14:AX14)</f>
        <v>0</v>
      </c>
      <c r="AZ14" s="312"/>
      <c r="BA14" s="10"/>
      <c r="BB14" s="10"/>
      <c r="BC14" s="10"/>
      <c r="BD14" s="313">
        <f t="shared" si="6"/>
        <v>0</v>
      </c>
      <c r="BE14" s="312"/>
      <c r="BF14" s="10"/>
      <c r="BG14" s="10"/>
      <c r="BH14" s="10"/>
      <c r="BI14" s="313">
        <f t="shared" si="7"/>
        <v>0</v>
      </c>
      <c r="BJ14" s="312"/>
      <c r="BK14" s="10"/>
      <c r="BL14" s="10"/>
      <c r="BM14" s="10"/>
      <c r="BN14" s="313"/>
      <c r="BO14" s="312"/>
      <c r="BP14" s="10"/>
      <c r="BQ14" s="10"/>
      <c r="BR14" s="10"/>
      <c r="BS14" s="313"/>
      <c r="BT14" s="312"/>
      <c r="BU14" s="10"/>
      <c r="BV14" s="10"/>
      <c r="BW14" s="10"/>
      <c r="BX14" s="313"/>
      <c r="BY14" s="315"/>
      <c r="BZ14" s="10"/>
      <c r="CA14" s="10"/>
      <c r="CB14" s="10"/>
      <c r="CC14" s="313"/>
      <c r="CD14" s="315"/>
      <c r="CE14" s="10"/>
      <c r="CF14" s="10"/>
      <c r="CG14" s="10"/>
      <c r="CH14" s="313">
        <f t="shared" si="10"/>
        <v>0</v>
      </c>
      <c r="CI14" s="312"/>
      <c r="CJ14" s="10"/>
      <c r="CK14" s="10"/>
      <c r="CL14" s="10"/>
      <c r="CM14" s="313">
        <f t="shared" si="11"/>
        <v>0</v>
      </c>
      <c r="CN14" s="65"/>
      <c r="CO14" s="10"/>
      <c r="CP14" s="10"/>
      <c r="CQ14" s="10"/>
      <c r="CR14" s="313">
        <f t="shared" si="12"/>
        <v>0</v>
      </c>
      <c r="CS14" s="316"/>
      <c r="CT14" s="317"/>
      <c r="CU14" s="317"/>
      <c r="CV14" s="317"/>
      <c r="CW14" s="318"/>
      <c r="CX14" s="319"/>
      <c r="CY14" s="320"/>
      <c r="CZ14" s="320"/>
      <c r="DA14" s="320"/>
      <c r="DB14" s="321">
        <f t="shared" si="13"/>
        <v>0</v>
      </c>
      <c r="DC14" s="322"/>
      <c r="DD14" s="295"/>
      <c r="DE14" s="295"/>
      <c r="DF14" s="295"/>
      <c r="DG14" s="296"/>
      <c r="DH14" s="312"/>
      <c r="DI14" s="10"/>
      <c r="DJ14" s="10"/>
      <c r="DK14" s="10"/>
      <c r="DL14" s="407"/>
      <c r="DM14" s="322"/>
      <c r="DN14" s="295"/>
      <c r="DO14" s="295"/>
      <c r="DP14" s="295"/>
      <c r="DQ14" s="296">
        <f t="shared" si="15"/>
        <v>0</v>
      </c>
    </row>
  </sheetData>
  <sheetProtection/>
  <mergeCells count="27">
    <mergeCell ref="AP3:AT3"/>
    <mergeCell ref="AU3:AY3"/>
    <mergeCell ref="AZ3:BD3"/>
    <mergeCell ref="Q3:U3"/>
    <mergeCell ref="V3:Z3"/>
    <mergeCell ref="AK3:AO3"/>
    <mergeCell ref="AA3:AE3"/>
    <mergeCell ref="AF3:AJ3"/>
    <mergeCell ref="A1:DQ1"/>
    <mergeCell ref="A2:DQ2"/>
    <mergeCell ref="A3:A4"/>
    <mergeCell ref="B3:F3"/>
    <mergeCell ref="G3:K3"/>
    <mergeCell ref="L3:P3"/>
    <mergeCell ref="DM3:DQ3"/>
    <mergeCell ref="CI3:CM3"/>
    <mergeCell ref="CN3:CR3"/>
    <mergeCell ref="BY3:CC3"/>
    <mergeCell ref="DH3:DL3"/>
    <mergeCell ref="DC3:DG3"/>
    <mergeCell ref="BO3:BS3"/>
    <mergeCell ref="CD3:CH3"/>
    <mergeCell ref="BE3:BI3"/>
    <mergeCell ref="CS3:CW3"/>
    <mergeCell ref="BT3:BX3"/>
    <mergeCell ref="BJ3:BN3"/>
    <mergeCell ref="CX3:DB3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CS20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U33" sqref="U33"/>
    </sheetView>
  </sheetViews>
  <sheetFormatPr defaultColWidth="9.140625" defaultRowHeight="15"/>
  <cols>
    <col min="1" max="1" width="73.57421875" style="604" bestFit="1" customWidth="1"/>
    <col min="2" max="2" width="8.00390625" style="604" bestFit="1" customWidth="1"/>
    <col min="3" max="3" width="7.7109375" style="604" bestFit="1" customWidth="1"/>
    <col min="4" max="5" width="10.28125" style="604" bestFit="1" customWidth="1"/>
    <col min="6" max="6" width="8.00390625" style="604" bestFit="1" customWidth="1"/>
    <col min="7" max="7" width="7.7109375" style="604" bestFit="1" customWidth="1"/>
    <col min="8" max="8" width="9.00390625" style="604" bestFit="1" customWidth="1"/>
    <col min="9" max="9" width="10.28125" style="604" bestFit="1" customWidth="1"/>
    <col min="10" max="10" width="8.00390625" style="604" bestFit="1" customWidth="1"/>
    <col min="11" max="11" width="6.421875" style="604" bestFit="1" customWidth="1"/>
    <col min="12" max="12" width="9.00390625" style="604" bestFit="1" customWidth="1"/>
    <col min="13" max="13" width="10.28125" style="604" bestFit="1" customWidth="1"/>
    <col min="14" max="14" width="11.28125" style="604" customWidth="1"/>
    <col min="15" max="15" width="9.00390625" style="604" bestFit="1" customWidth="1"/>
    <col min="16" max="16" width="12.421875" style="604" customWidth="1"/>
    <col min="17" max="17" width="11.57421875" style="604" bestFit="1" customWidth="1"/>
    <col min="18" max="18" width="9.00390625" style="604" bestFit="1" customWidth="1"/>
    <col min="19" max="19" width="7.7109375" style="604" bestFit="1" customWidth="1"/>
    <col min="20" max="20" width="9.00390625" style="604" bestFit="1" customWidth="1"/>
    <col min="21" max="21" width="11.57421875" style="604" bestFit="1" customWidth="1"/>
    <col min="22" max="22" width="10.28125" style="604" bestFit="1" customWidth="1"/>
    <col min="23" max="23" width="7.7109375" style="604" bestFit="1" customWidth="1"/>
    <col min="24" max="24" width="10.28125" style="604" bestFit="1" customWidth="1"/>
    <col min="25" max="25" width="12.8515625" style="604" bestFit="1" customWidth="1"/>
    <col min="26" max="26" width="11.57421875" style="604" bestFit="1" customWidth="1"/>
    <col min="27" max="27" width="7.7109375" style="604" bestFit="1" customWidth="1"/>
    <col min="28" max="28" width="10.28125" style="604" bestFit="1" customWidth="1"/>
    <col min="29" max="29" width="11.28125" style="604" customWidth="1"/>
    <col min="30" max="30" width="8.00390625" style="604" bestFit="1" customWidth="1"/>
    <col min="31" max="31" width="7.7109375" style="604" bestFit="1" customWidth="1"/>
    <col min="32" max="32" width="9.00390625" style="604" bestFit="1" customWidth="1"/>
    <col min="33" max="33" width="9.28125" style="604" customWidth="1"/>
    <col min="34" max="34" width="11.57421875" style="604" bestFit="1" customWidth="1"/>
    <col min="35" max="35" width="7.7109375" style="604" bestFit="1" customWidth="1"/>
    <col min="36" max="36" width="10.28125" style="604" bestFit="1" customWidth="1"/>
    <col min="37" max="37" width="12.8515625" style="604" bestFit="1" customWidth="1"/>
    <col min="38" max="39" width="7.7109375" style="604" bestFit="1" customWidth="1"/>
    <col min="40" max="40" width="9.00390625" style="604" bestFit="1" customWidth="1"/>
    <col min="41" max="41" width="10.28125" style="604" bestFit="1" customWidth="1"/>
    <col min="42" max="42" width="10.421875" style="604" customWidth="1"/>
    <col min="43" max="43" width="9.00390625" style="604" bestFit="1" customWidth="1"/>
    <col min="44" max="44" width="9.57421875" style="604" customWidth="1"/>
    <col min="45" max="45" width="14.28125" style="604" bestFit="1" customWidth="1"/>
    <col min="46" max="46" width="11.57421875" style="604" bestFit="1" customWidth="1"/>
    <col min="47" max="47" width="9.00390625" style="604" bestFit="1" customWidth="1"/>
    <col min="48" max="48" width="11.57421875" style="604" bestFit="1" customWidth="1"/>
    <col min="49" max="49" width="14.28125" style="604" bestFit="1" customWidth="1"/>
    <col min="50" max="50" width="9.00390625" style="604" bestFit="1" customWidth="1"/>
    <col min="51" max="52" width="7.7109375" style="604" bestFit="1" customWidth="1"/>
    <col min="53" max="53" width="10.28125" style="604" bestFit="1" customWidth="1"/>
    <col min="54" max="54" width="11.57421875" style="604" bestFit="1" customWidth="1"/>
    <col min="55" max="55" width="7.7109375" style="604" bestFit="1" customWidth="1"/>
    <col min="56" max="56" width="10.28125" style="604" bestFit="1" customWidth="1"/>
    <col min="57" max="57" width="9.8515625" style="604" customWidth="1"/>
    <col min="58" max="58" width="12.8515625" style="604" bestFit="1" customWidth="1"/>
    <col min="59" max="59" width="9.00390625" style="604" bestFit="1" customWidth="1"/>
    <col min="60" max="60" width="11.57421875" style="604" bestFit="1" customWidth="1"/>
    <col min="61" max="61" width="14.28125" style="604" bestFit="1" customWidth="1"/>
    <col min="62" max="62" width="10.28125" style="604" bestFit="1" customWidth="1"/>
    <col min="63" max="64" width="9.00390625" style="604" bestFit="1" customWidth="1"/>
    <col min="65" max="65" width="11.57421875" style="604" bestFit="1" customWidth="1"/>
    <col min="66" max="66" width="8.00390625" style="604" bestFit="1" customWidth="1"/>
    <col min="67" max="68" width="7.7109375" style="604" bestFit="1" customWidth="1"/>
    <col min="69" max="69" width="9.140625" style="604" customWidth="1"/>
    <col min="70" max="71" width="7.7109375" style="604" bestFit="1" customWidth="1"/>
    <col min="72" max="72" width="9.8515625" style="604" bestFit="1" customWidth="1"/>
    <col min="73" max="73" width="10.28125" style="604" bestFit="1" customWidth="1"/>
    <col min="74" max="74" width="8.00390625" style="604" bestFit="1" customWidth="1"/>
    <col min="75" max="75" width="6.421875" style="604" bestFit="1" customWidth="1"/>
    <col min="76" max="76" width="7.00390625" style="604" bestFit="1" customWidth="1"/>
    <col min="77" max="77" width="9.140625" style="604" customWidth="1"/>
    <col min="78" max="78" width="8.00390625" style="604" bestFit="1" customWidth="1"/>
    <col min="79" max="79" width="9.00390625" style="604" bestFit="1" customWidth="1"/>
    <col min="80" max="80" width="11.57421875" style="604" bestFit="1" customWidth="1"/>
    <col min="81" max="81" width="10.8515625" style="604" bestFit="1" customWidth="1"/>
    <col min="82" max="82" width="9.57421875" style="604" customWidth="1"/>
    <col min="83" max="83" width="9.00390625" style="604" bestFit="1" customWidth="1"/>
    <col min="84" max="84" width="10.28125" style="604" bestFit="1" customWidth="1"/>
    <col min="85" max="85" width="14.28125" style="604" bestFit="1" customWidth="1"/>
    <col min="86" max="86" width="11.57421875" style="604" bestFit="1" customWidth="1"/>
    <col min="87" max="88" width="7.7109375" style="604" bestFit="1" customWidth="1"/>
    <col min="89" max="89" width="14.28125" style="604" bestFit="1" customWidth="1"/>
    <col min="90" max="92" width="9.00390625" style="604" bestFit="1" customWidth="1"/>
    <col min="93" max="93" width="10.28125" style="604" bestFit="1" customWidth="1"/>
    <col min="94" max="94" width="8.00390625" style="604" bestFit="1" customWidth="1"/>
    <col min="95" max="95" width="6.421875" style="604" bestFit="1" customWidth="1"/>
    <col min="96" max="96" width="7.00390625" style="604" bestFit="1" customWidth="1"/>
    <col min="97" max="97" width="14.140625" style="604" bestFit="1" customWidth="1"/>
    <col min="98" max="16384" width="9.140625" style="604" customWidth="1"/>
  </cols>
  <sheetData>
    <row r="1" ht="17.25" thickBot="1">
      <c r="A1" s="955" t="s">
        <v>530</v>
      </c>
    </row>
    <row r="2" spans="1:97" s="992" customFormat="1" ht="27" customHeight="1" thickBot="1">
      <c r="A2" s="988" t="s">
        <v>399</v>
      </c>
      <c r="B2" s="1758" t="s">
        <v>400</v>
      </c>
      <c r="C2" s="1759"/>
      <c r="D2" s="1759"/>
      <c r="E2" s="1760"/>
      <c r="F2" s="1761" t="s">
        <v>401</v>
      </c>
      <c r="G2" s="1756"/>
      <c r="H2" s="1756"/>
      <c r="I2" s="1757"/>
      <c r="J2" s="1756" t="s">
        <v>402</v>
      </c>
      <c r="K2" s="1756"/>
      <c r="L2" s="1756"/>
      <c r="M2" s="1757"/>
      <c r="N2" s="1756" t="s">
        <v>403</v>
      </c>
      <c r="O2" s="1756"/>
      <c r="P2" s="1756"/>
      <c r="Q2" s="1757"/>
      <c r="R2" s="1756" t="s">
        <v>404</v>
      </c>
      <c r="S2" s="1756"/>
      <c r="T2" s="1756"/>
      <c r="U2" s="1757"/>
      <c r="V2" s="1756" t="s">
        <v>405</v>
      </c>
      <c r="W2" s="1756"/>
      <c r="X2" s="1756"/>
      <c r="Y2" s="1757"/>
      <c r="Z2" s="1756" t="s">
        <v>449</v>
      </c>
      <c r="AA2" s="1756"/>
      <c r="AB2" s="1756"/>
      <c r="AC2" s="1757"/>
      <c r="AD2" s="1756" t="s">
        <v>406</v>
      </c>
      <c r="AE2" s="1756"/>
      <c r="AF2" s="1756"/>
      <c r="AG2" s="1757"/>
      <c r="AH2" s="1756" t="s">
        <v>407</v>
      </c>
      <c r="AI2" s="1756"/>
      <c r="AJ2" s="1756"/>
      <c r="AK2" s="1757"/>
      <c r="AL2" s="1756" t="s">
        <v>408</v>
      </c>
      <c r="AM2" s="1756"/>
      <c r="AN2" s="1756"/>
      <c r="AO2" s="1757"/>
      <c r="AP2" s="1756" t="s">
        <v>409</v>
      </c>
      <c r="AQ2" s="1756"/>
      <c r="AR2" s="1756"/>
      <c r="AS2" s="1757"/>
      <c r="AT2" s="1756" t="s">
        <v>410</v>
      </c>
      <c r="AU2" s="1756"/>
      <c r="AV2" s="1756"/>
      <c r="AW2" s="1757"/>
      <c r="AX2" s="1756" t="s">
        <v>548</v>
      </c>
      <c r="AY2" s="1756"/>
      <c r="AZ2" s="1756"/>
      <c r="BA2" s="1757"/>
      <c r="BB2" s="1756" t="s">
        <v>411</v>
      </c>
      <c r="BC2" s="1756"/>
      <c r="BD2" s="1756"/>
      <c r="BE2" s="1757"/>
      <c r="BF2" s="1756" t="s">
        <v>412</v>
      </c>
      <c r="BG2" s="1756"/>
      <c r="BH2" s="1756"/>
      <c r="BI2" s="1757"/>
      <c r="BJ2" s="1756" t="s">
        <v>413</v>
      </c>
      <c r="BK2" s="1756"/>
      <c r="BL2" s="1756"/>
      <c r="BM2" s="1757"/>
      <c r="BN2" s="1756" t="s">
        <v>414</v>
      </c>
      <c r="BO2" s="1756"/>
      <c r="BP2" s="1756"/>
      <c r="BQ2" s="1757"/>
      <c r="BR2" s="1756" t="s">
        <v>415</v>
      </c>
      <c r="BS2" s="1756"/>
      <c r="BT2" s="1756"/>
      <c r="BU2" s="1757"/>
      <c r="BV2" s="1756" t="s">
        <v>179</v>
      </c>
      <c r="BW2" s="1756"/>
      <c r="BX2" s="1756"/>
      <c r="BY2" s="1757"/>
      <c r="BZ2" s="1756" t="s">
        <v>416</v>
      </c>
      <c r="CA2" s="1756"/>
      <c r="CB2" s="1756"/>
      <c r="CC2" s="1757"/>
      <c r="CD2" s="1756" t="s">
        <v>417</v>
      </c>
      <c r="CE2" s="1756"/>
      <c r="CF2" s="1756"/>
      <c r="CG2" s="1757"/>
      <c r="CH2" s="1756" t="s">
        <v>418</v>
      </c>
      <c r="CI2" s="1756"/>
      <c r="CJ2" s="1756"/>
      <c r="CK2" s="1757"/>
      <c r="CL2" s="1756" t="s">
        <v>419</v>
      </c>
      <c r="CM2" s="1756"/>
      <c r="CN2" s="1756"/>
      <c r="CO2" s="1757"/>
      <c r="CP2" s="1756" t="s">
        <v>184</v>
      </c>
      <c r="CQ2" s="1756"/>
      <c r="CR2" s="1756"/>
      <c r="CS2" s="1757"/>
    </row>
    <row r="3" spans="1:97" s="992" customFormat="1" ht="57.75" thickBot="1">
      <c r="A3" s="993" t="s">
        <v>0</v>
      </c>
      <c r="B3" s="989" t="s">
        <v>420</v>
      </c>
      <c r="C3" s="990" t="s">
        <v>395</v>
      </c>
      <c r="D3" s="990" t="s">
        <v>421</v>
      </c>
      <c r="E3" s="991" t="s">
        <v>422</v>
      </c>
      <c r="F3" s="994" t="s">
        <v>420</v>
      </c>
      <c r="G3" s="977" t="s">
        <v>395</v>
      </c>
      <c r="H3" s="977" t="s">
        <v>421</v>
      </c>
      <c r="I3" s="978" t="s">
        <v>422</v>
      </c>
      <c r="J3" s="976" t="s">
        <v>420</v>
      </c>
      <c r="K3" s="977" t="s">
        <v>395</v>
      </c>
      <c r="L3" s="977" t="s">
        <v>421</v>
      </c>
      <c r="M3" s="978" t="s">
        <v>422</v>
      </c>
      <c r="N3" s="976" t="s">
        <v>420</v>
      </c>
      <c r="O3" s="977" t="s">
        <v>395</v>
      </c>
      <c r="P3" s="977" t="s">
        <v>396</v>
      </c>
      <c r="Q3" s="978" t="s">
        <v>422</v>
      </c>
      <c r="R3" s="976" t="s">
        <v>420</v>
      </c>
      <c r="S3" s="977" t="s">
        <v>395</v>
      </c>
      <c r="T3" s="977" t="s">
        <v>421</v>
      </c>
      <c r="U3" s="978" t="s">
        <v>422</v>
      </c>
      <c r="V3" s="976" t="s">
        <v>420</v>
      </c>
      <c r="W3" s="977" t="s">
        <v>395</v>
      </c>
      <c r="X3" s="977" t="s">
        <v>421</v>
      </c>
      <c r="Y3" s="978" t="s">
        <v>422</v>
      </c>
      <c r="Z3" s="976" t="s">
        <v>420</v>
      </c>
      <c r="AA3" s="977" t="s">
        <v>395</v>
      </c>
      <c r="AB3" s="977" t="s">
        <v>421</v>
      </c>
      <c r="AC3" s="978" t="s">
        <v>422</v>
      </c>
      <c r="AD3" s="976" t="s">
        <v>420</v>
      </c>
      <c r="AE3" s="977" t="s">
        <v>395</v>
      </c>
      <c r="AF3" s="977" t="s">
        <v>421</v>
      </c>
      <c r="AG3" s="978" t="s">
        <v>422</v>
      </c>
      <c r="AH3" s="976" t="s">
        <v>420</v>
      </c>
      <c r="AI3" s="977" t="s">
        <v>395</v>
      </c>
      <c r="AJ3" s="977" t="s">
        <v>421</v>
      </c>
      <c r="AK3" s="978" t="s">
        <v>422</v>
      </c>
      <c r="AL3" s="976" t="s">
        <v>420</v>
      </c>
      <c r="AM3" s="977" t="s">
        <v>395</v>
      </c>
      <c r="AN3" s="977" t="s">
        <v>421</v>
      </c>
      <c r="AO3" s="978" t="s">
        <v>422</v>
      </c>
      <c r="AP3" s="976" t="s">
        <v>420</v>
      </c>
      <c r="AQ3" s="977" t="s">
        <v>395</v>
      </c>
      <c r="AR3" s="977" t="s">
        <v>421</v>
      </c>
      <c r="AS3" s="978" t="s">
        <v>422</v>
      </c>
      <c r="AT3" s="976" t="s">
        <v>420</v>
      </c>
      <c r="AU3" s="977" t="s">
        <v>395</v>
      </c>
      <c r="AV3" s="977" t="s">
        <v>421</v>
      </c>
      <c r="AW3" s="978" t="s">
        <v>422</v>
      </c>
      <c r="AX3" s="976" t="s">
        <v>420</v>
      </c>
      <c r="AY3" s="977" t="s">
        <v>395</v>
      </c>
      <c r="AZ3" s="977" t="s">
        <v>421</v>
      </c>
      <c r="BA3" s="978" t="s">
        <v>422</v>
      </c>
      <c r="BB3" s="976" t="s">
        <v>420</v>
      </c>
      <c r="BC3" s="977" t="s">
        <v>395</v>
      </c>
      <c r="BD3" s="977" t="s">
        <v>421</v>
      </c>
      <c r="BE3" s="978" t="s">
        <v>422</v>
      </c>
      <c r="BF3" s="976" t="s">
        <v>420</v>
      </c>
      <c r="BG3" s="977" t="s">
        <v>395</v>
      </c>
      <c r="BH3" s="977" t="s">
        <v>421</v>
      </c>
      <c r="BI3" s="978" t="s">
        <v>422</v>
      </c>
      <c r="BJ3" s="976" t="s">
        <v>420</v>
      </c>
      <c r="BK3" s="977" t="s">
        <v>395</v>
      </c>
      <c r="BL3" s="977" t="s">
        <v>421</v>
      </c>
      <c r="BM3" s="978" t="s">
        <v>422</v>
      </c>
      <c r="BN3" s="976" t="s">
        <v>420</v>
      </c>
      <c r="BO3" s="977" t="s">
        <v>395</v>
      </c>
      <c r="BP3" s="977" t="s">
        <v>421</v>
      </c>
      <c r="BQ3" s="978" t="s">
        <v>422</v>
      </c>
      <c r="BR3" s="976" t="s">
        <v>420</v>
      </c>
      <c r="BS3" s="977" t="s">
        <v>395</v>
      </c>
      <c r="BT3" s="977" t="s">
        <v>421</v>
      </c>
      <c r="BU3" s="978" t="s">
        <v>422</v>
      </c>
      <c r="BV3" s="976" t="s">
        <v>420</v>
      </c>
      <c r="BW3" s="977" t="s">
        <v>395</v>
      </c>
      <c r="BX3" s="977" t="s">
        <v>421</v>
      </c>
      <c r="BY3" s="978" t="s">
        <v>422</v>
      </c>
      <c r="BZ3" s="976" t="s">
        <v>420</v>
      </c>
      <c r="CA3" s="977" t="s">
        <v>395</v>
      </c>
      <c r="CB3" s="977" t="s">
        <v>421</v>
      </c>
      <c r="CC3" s="978" t="s">
        <v>422</v>
      </c>
      <c r="CD3" s="976" t="s">
        <v>420</v>
      </c>
      <c r="CE3" s="977" t="s">
        <v>395</v>
      </c>
      <c r="CF3" s="977" t="s">
        <v>421</v>
      </c>
      <c r="CG3" s="978" t="s">
        <v>422</v>
      </c>
      <c r="CH3" s="976" t="s">
        <v>420</v>
      </c>
      <c r="CI3" s="977" t="s">
        <v>395</v>
      </c>
      <c r="CJ3" s="977" t="s">
        <v>421</v>
      </c>
      <c r="CK3" s="978" t="s">
        <v>422</v>
      </c>
      <c r="CL3" s="976" t="s">
        <v>420</v>
      </c>
      <c r="CM3" s="977" t="s">
        <v>395</v>
      </c>
      <c r="CN3" s="977" t="s">
        <v>421</v>
      </c>
      <c r="CO3" s="978" t="s">
        <v>422</v>
      </c>
      <c r="CP3" s="976" t="s">
        <v>420</v>
      </c>
      <c r="CQ3" s="977" t="s">
        <v>395</v>
      </c>
      <c r="CR3" s="977" t="s">
        <v>421</v>
      </c>
      <c r="CS3" s="978" t="s">
        <v>422</v>
      </c>
    </row>
    <row r="4" spans="1:97" ht="16.5">
      <c r="A4" s="956" t="s">
        <v>423</v>
      </c>
      <c r="B4" s="995"/>
      <c r="C4" s="996"/>
      <c r="D4" s="996"/>
      <c r="E4" s="997"/>
      <c r="F4" s="998"/>
      <c r="G4" s="980"/>
      <c r="H4" s="980"/>
      <c r="I4" s="999"/>
      <c r="J4" s="979"/>
      <c r="K4" s="980"/>
      <c r="L4" s="980"/>
      <c r="M4" s="999"/>
      <c r="N4" s="979"/>
      <c r="O4" s="980"/>
      <c r="P4" s="980"/>
      <c r="Q4" s="981"/>
      <c r="R4" s="998"/>
      <c r="S4" s="980"/>
      <c r="T4" s="980"/>
      <c r="U4" s="999"/>
      <c r="V4" s="979"/>
      <c r="W4" s="980"/>
      <c r="X4" s="980"/>
      <c r="Y4" s="999"/>
      <c r="Z4" s="979"/>
      <c r="AA4" s="980"/>
      <c r="AB4" s="980"/>
      <c r="AC4" s="999"/>
      <c r="AD4" s="979"/>
      <c r="AE4" s="980"/>
      <c r="AF4" s="980"/>
      <c r="AG4" s="999"/>
      <c r="AH4" s="979"/>
      <c r="AI4" s="980"/>
      <c r="AJ4" s="980"/>
      <c r="AK4" s="999"/>
      <c r="AL4" s="979"/>
      <c r="AM4" s="980"/>
      <c r="AN4" s="980"/>
      <c r="AO4" s="999"/>
      <c r="AP4" s="979"/>
      <c r="AQ4" s="980"/>
      <c r="AR4" s="980"/>
      <c r="AS4" s="999"/>
      <c r="AT4" s="979"/>
      <c r="AU4" s="980"/>
      <c r="AV4" s="980"/>
      <c r="AW4" s="999"/>
      <c r="AX4" s="979"/>
      <c r="AY4" s="980"/>
      <c r="AZ4" s="980"/>
      <c r="BA4" s="999"/>
      <c r="BB4" s="979"/>
      <c r="BC4" s="980"/>
      <c r="BD4" s="980"/>
      <c r="BE4" s="999"/>
      <c r="BF4" s="979"/>
      <c r="BG4" s="980"/>
      <c r="BH4" s="980"/>
      <c r="BI4" s="999"/>
      <c r="BJ4" s="979"/>
      <c r="BK4" s="980"/>
      <c r="BL4" s="980"/>
      <c r="BM4" s="999"/>
      <c r="BN4" s="979"/>
      <c r="BO4" s="980"/>
      <c r="BP4" s="980"/>
      <c r="BQ4" s="999"/>
      <c r="BR4" s="979"/>
      <c r="BS4" s="980"/>
      <c r="BT4" s="980"/>
      <c r="BU4" s="999"/>
      <c r="BV4" s="979"/>
      <c r="BW4" s="980"/>
      <c r="BX4" s="980"/>
      <c r="BY4" s="999"/>
      <c r="BZ4" s="979"/>
      <c r="CA4" s="980"/>
      <c r="CB4" s="980"/>
      <c r="CC4" s="981"/>
      <c r="CD4" s="998"/>
      <c r="CE4" s="980"/>
      <c r="CF4" s="980"/>
      <c r="CG4" s="999"/>
      <c r="CH4" s="979"/>
      <c r="CI4" s="980"/>
      <c r="CJ4" s="980"/>
      <c r="CK4" s="999"/>
      <c r="CL4" s="979"/>
      <c r="CM4" s="980"/>
      <c r="CN4" s="980"/>
      <c r="CO4" s="999"/>
      <c r="CP4" s="979"/>
      <c r="CQ4" s="980"/>
      <c r="CR4" s="980"/>
      <c r="CS4" s="999"/>
    </row>
    <row r="5" spans="1:97" ht="16.5">
      <c r="A5" s="957" t="s">
        <v>424</v>
      </c>
      <c r="B5" s="975">
        <v>97</v>
      </c>
      <c r="C5" s="1000">
        <v>236</v>
      </c>
      <c r="D5" s="1001">
        <v>236</v>
      </c>
      <c r="E5" s="1002">
        <v>1109</v>
      </c>
      <c r="F5" s="984">
        <v>23</v>
      </c>
      <c r="G5" s="958">
        <v>4567</v>
      </c>
      <c r="H5" s="958">
        <v>4565</v>
      </c>
      <c r="I5" s="1002">
        <v>1476</v>
      </c>
      <c r="J5" s="982">
        <v>7</v>
      </c>
      <c r="K5" s="958">
        <v>1047</v>
      </c>
      <c r="L5" s="958">
        <v>1047</v>
      </c>
      <c r="M5" s="1002">
        <v>262</v>
      </c>
      <c r="N5" s="982">
        <v>133</v>
      </c>
      <c r="O5" s="958">
        <v>-7</v>
      </c>
      <c r="P5" s="958">
        <f>O5</f>
        <v>-7</v>
      </c>
      <c r="Q5" s="983">
        <v>-1230</v>
      </c>
      <c r="R5" s="984">
        <v>0.1</v>
      </c>
      <c r="S5" s="958">
        <v>5003</v>
      </c>
      <c r="T5" s="958">
        <v>5001</v>
      </c>
      <c r="U5" s="1002">
        <v>5.12</v>
      </c>
      <c r="V5" s="982">
        <v>27.2</v>
      </c>
      <c r="W5" s="958">
        <v>34</v>
      </c>
      <c r="X5" s="958">
        <v>30</v>
      </c>
      <c r="Y5" s="1002">
        <v>166.8</v>
      </c>
      <c r="Z5" s="982">
        <v>10.92</v>
      </c>
      <c r="AA5" s="958">
        <v>15</v>
      </c>
      <c r="AB5" s="958">
        <v>13</v>
      </c>
      <c r="AC5" s="1002">
        <v>15.14</v>
      </c>
      <c r="AD5" s="982">
        <v>0.2</v>
      </c>
      <c r="AE5" s="958">
        <v>5715</v>
      </c>
      <c r="AF5" s="958">
        <v>5680</v>
      </c>
      <c r="AG5" s="1002">
        <v>44.52</v>
      </c>
      <c r="AH5" s="982"/>
      <c r="AI5" s="958"/>
      <c r="AJ5" s="958"/>
      <c r="AK5" s="1002"/>
      <c r="AL5" s="982"/>
      <c r="AM5" s="958"/>
      <c r="AN5" s="958"/>
      <c r="AO5" s="1002"/>
      <c r="AP5" s="982">
        <v>29.64</v>
      </c>
      <c r="AQ5" s="958">
        <v>286</v>
      </c>
      <c r="AR5" s="958">
        <v>286</v>
      </c>
      <c r="AS5" s="1002">
        <v>267.42</v>
      </c>
      <c r="AT5" s="958">
        <v>372.5</v>
      </c>
      <c r="AU5" s="958">
        <v>1087</v>
      </c>
      <c r="AV5" s="958">
        <v>1075</v>
      </c>
      <c r="AW5" s="1002">
        <v>6988.1</v>
      </c>
      <c r="AX5" s="982">
        <v>0</v>
      </c>
      <c r="AY5" s="958">
        <v>3</v>
      </c>
      <c r="AZ5" s="958">
        <v>3</v>
      </c>
      <c r="BA5" s="1002">
        <v>0.16</v>
      </c>
      <c r="BB5" s="982">
        <v>3.36</v>
      </c>
      <c r="BC5" s="958">
        <v>444</v>
      </c>
      <c r="BD5" s="958">
        <v>444</v>
      </c>
      <c r="BE5" s="1002">
        <v>118.02</v>
      </c>
      <c r="BF5" s="982">
        <v>53.92</v>
      </c>
      <c r="BG5" s="958">
        <v>26912</v>
      </c>
      <c r="BH5" s="958">
        <v>24292</v>
      </c>
      <c r="BI5" s="1002">
        <v>1345.6</v>
      </c>
      <c r="BJ5" s="982">
        <v>105.85</v>
      </c>
      <c r="BK5" s="958"/>
      <c r="BL5" s="958"/>
      <c r="BM5" s="1002">
        <v>369.05</v>
      </c>
      <c r="BN5" s="982"/>
      <c r="BO5" s="958"/>
      <c r="BP5" s="958"/>
      <c r="BQ5" s="1002"/>
      <c r="BR5" s="982">
        <v>0</v>
      </c>
      <c r="BS5" s="958"/>
      <c r="BT5" s="958"/>
      <c r="BU5" s="1002"/>
      <c r="BV5" s="982"/>
      <c r="BW5" s="958"/>
      <c r="BX5" s="958"/>
      <c r="BY5" s="1002"/>
      <c r="BZ5" s="982">
        <v>0</v>
      </c>
      <c r="CA5" s="958">
        <v>846</v>
      </c>
      <c r="CB5" s="958">
        <f>CA5</f>
        <v>846</v>
      </c>
      <c r="CC5" s="983">
        <v>21</v>
      </c>
      <c r="CD5" s="984">
        <v>24.86</v>
      </c>
      <c r="CE5" s="1396">
        <v>331</v>
      </c>
      <c r="CF5" s="958">
        <v>314</v>
      </c>
      <c r="CG5" s="1002">
        <v>786</v>
      </c>
      <c r="CH5" s="982">
        <v>925.42</v>
      </c>
      <c r="CI5" s="958">
        <v>1</v>
      </c>
      <c r="CJ5" s="958">
        <v>1</v>
      </c>
      <c r="CK5" s="1002">
        <v>25792</v>
      </c>
      <c r="CL5" s="982">
        <v>0</v>
      </c>
      <c r="CM5" s="958">
        <v>1</v>
      </c>
      <c r="CN5" s="958">
        <v>1</v>
      </c>
      <c r="CO5" s="1002">
        <v>1</v>
      </c>
      <c r="CP5" s="982"/>
      <c r="CQ5" s="958"/>
      <c r="CR5" s="958"/>
      <c r="CS5" s="1002"/>
    </row>
    <row r="6" spans="1:97" ht="16.5">
      <c r="A6" s="957" t="s">
        <v>425</v>
      </c>
      <c r="B6" s="975">
        <v>1445</v>
      </c>
      <c r="C6" s="1000">
        <v>670</v>
      </c>
      <c r="D6" s="1001">
        <v>670</v>
      </c>
      <c r="E6" s="1002">
        <v>2290</v>
      </c>
      <c r="F6" s="984">
        <v>24</v>
      </c>
      <c r="G6" s="958">
        <v>14</v>
      </c>
      <c r="H6" s="958">
        <v>13</v>
      </c>
      <c r="I6" s="1002">
        <v>725</v>
      </c>
      <c r="J6" s="982">
        <v>43</v>
      </c>
      <c r="K6" s="958">
        <v>24</v>
      </c>
      <c r="L6" s="958">
        <v>19</v>
      </c>
      <c r="M6" s="1002">
        <v>68</v>
      </c>
      <c r="N6" s="982">
        <v>38</v>
      </c>
      <c r="O6" s="958">
        <v>4</v>
      </c>
      <c r="P6" s="958">
        <v>4</v>
      </c>
      <c r="Q6" s="983">
        <v>104</v>
      </c>
      <c r="R6" s="984">
        <v>29.18</v>
      </c>
      <c r="S6" s="958">
        <v>2127</v>
      </c>
      <c r="T6" s="958">
        <v>2013</v>
      </c>
      <c r="U6" s="1002">
        <v>195.6</v>
      </c>
      <c r="V6" s="982">
        <v>97.8</v>
      </c>
      <c r="W6" s="958">
        <v>54</v>
      </c>
      <c r="X6" s="958">
        <v>51</v>
      </c>
      <c r="Y6" s="1002">
        <v>769.4</v>
      </c>
      <c r="Z6" s="982">
        <v>12.71</v>
      </c>
      <c r="AA6" s="958">
        <v>7</v>
      </c>
      <c r="AB6" s="958">
        <v>7</v>
      </c>
      <c r="AC6" s="1002">
        <v>50.92</v>
      </c>
      <c r="AD6" s="982">
        <v>0.04</v>
      </c>
      <c r="AE6" s="958">
        <v>29</v>
      </c>
      <c r="AF6" s="958">
        <v>20</v>
      </c>
      <c r="AG6" s="1002">
        <v>7.25</v>
      </c>
      <c r="AH6" s="982">
        <v>45.66</v>
      </c>
      <c r="AI6" s="958"/>
      <c r="AJ6" s="958"/>
      <c r="AK6" s="1002"/>
      <c r="AL6" s="982"/>
      <c r="AM6" s="958"/>
      <c r="AN6" s="958"/>
      <c r="AO6" s="1002"/>
      <c r="AP6" s="982">
        <v>187.7</v>
      </c>
      <c r="AQ6" s="958">
        <v>686</v>
      </c>
      <c r="AR6" s="958">
        <v>692</v>
      </c>
      <c r="AS6" s="1002">
        <v>548.43</v>
      </c>
      <c r="AT6" s="958">
        <v>885.7</v>
      </c>
      <c r="AU6" s="958">
        <v>146</v>
      </c>
      <c r="AV6" s="958">
        <v>146</v>
      </c>
      <c r="AW6" s="1002">
        <v>1553.4</v>
      </c>
      <c r="AX6" s="982">
        <v>2.27</v>
      </c>
      <c r="AY6" s="958">
        <v>594</v>
      </c>
      <c r="AZ6" s="958">
        <v>463</v>
      </c>
      <c r="BA6" s="1002">
        <v>5.1</v>
      </c>
      <c r="BB6" s="982">
        <v>-2.1</v>
      </c>
      <c r="BC6" s="958">
        <v>-14</v>
      </c>
      <c r="BD6" s="958">
        <v>-14</v>
      </c>
      <c r="BE6" s="1002">
        <v>145.5</v>
      </c>
      <c r="BF6" s="982">
        <v>88.79</v>
      </c>
      <c r="BG6" s="958">
        <v>592</v>
      </c>
      <c r="BH6" s="958">
        <v>592</v>
      </c>
      <c r="BI6" s="1002">
        <v>7359.11</v>
      </c>
      <c r="BJ6" s="982">
        <v>307.2</v>
      </c>
      <c r="BK6" s="958"/>
      <c r="BL6" s="958"/>
      <c r="BM6" s="1002">
        <v>1014.38</v>
      </c>
      <c r="BN6" s="982"/>
      <c r="BO6" s="958"/>
      <c r="BP6" s="958"/>
      <c r="BQ6" s="1002"/>
      <c r="BR6" s="982">
        <v>1</v>
      </c>
      <c r="BS6" s="958"/>
      <c r="BT6" s="958"/>
      <c r="BU6" s="1002"/>
      <c r="BV6" s="982"/>
      <c r="BW6" s="958"/>
      <c r="BX6" s="958"/>
      <c r="BY6" s="1002"/>
      <c r="BZ6" s="982">
        <v>2</v>
      </c>
      <c r="CA6" s="958">
        <v>1233</v>
      </c>
      <c r="CB6" s="958">
        <f aca="true" t="shared" si="0" ref="CB6:CB11">CA6</f>
        <v>1233</v>
      </c>
      <c r="CC6" s="983">
        <v>116</v>
      </c>
      <c r="CD6" s="1397">
        <v>28.19</v>
      </c>
      <c r="CE6" s="958">
        <v>200</v>
      </c>
      <c r="CF6" s="958">
        <v>185</v>
      </c>
      <c r="CG6" s="1002">
        <v>607.84</v>
      </c>
      <c r="CH6" s="982">
        <v>-2.1</v>
      </c>
      <c r="CI6" s="958">
        <v>0</v>
      </c>
      <c r="CJ6" s="958">
        <v>0</v>
      </c>
      <c r="CK6" s="1002">
        <v>0</v>
      </c>
      <c r="CL6" s="982">
        <v>1</v>
      </c>
      <c r="CM6" s="958">
        <v>3</v>
      </c>
      <c r="CN6" s="958">
        <v>3</v>
      </c>
      <c r="CO6" s="1002">
        <v>8</v>
      </c>
      <c r="CP6" s="982"/>
      <c r="CQ6" s="958"/>
      <c r="CR6" s="958"/>
      <c r="CS6" s="1002"/>
    </row>
    <row r="7" spans="1:97" ht="16.5">
      <c r="A7" s="957" t="s">
        <v>426</v>
      </c>
      <c r="B7" s="975">
        <v>2488</v>
      </c>
      <c r="C7" s="1000">
        <v>628</v>
      </c>
      <c r="D7" s="1001">
        <v>628</v>
      </c>
      <c r="E7" s="1002">
        <v>3944</v>
      </c>
      <c r="F7" s="984">
        <v>24</v>
      </c>
      <c r="G7" s="958">
        <v>6</v>
      </c>
      <c r="H7" s="958">
        <v>5</v>
      </c>
      <c r="I7" s="1002">
        <v>460</v>
      </c>
      <c r="J7" s="982">
        <v>64</v>
      </c>
      <c r="K7" s="958">
        <v>15</v>
      </c>
      <c r="L7" s="958">
        <v>13</v>
      </c>
      <c r="M7" s="1002">
        <v>66</v>
      </c>
      <c r="N7" s="982">
        <v>103</v>
      </c>
      <c r="O7" s="958">
        <v>138</v>
      </c>
      <c r="P7" s="958">
        <v>106</v>
      </c>
      <c r="Q7" s="983">
        <v>257</v>
      </c>
      <c r="R7" s="984">
        <v>20.12</v>
      </c>
      <c r="S7" s="958">
        <v>506</v>
      </c>
      <c r="T7" s="958">
        <v>486</v>
      </c>
      <c r="U7" s="1002">
        <v>125.92</v>
      </c>
      <c r="V7" s="982">
        <v>986.4</v>
      </c>
      <c r="W7" s="958">
        <v>204</v>
      </c>
      <c r="X7" s="958">
        <v>179</v>
      </c>
      <c r="Y7" s="1002">
        <v>2570.6</v>
      </c>
      <c r="Z7" s="982">
        <v>13.44</v>
      </c>
      <c r="AA7" s="958">
        <v>3</v>
      </c>
      <c r="AB7" s="958">
        <v>3</v>
      </c>
      <c r="AC7" s="1002">
        <v>16.88</v>
      </c>
      <c r="AD7" s="982">
        <v>0.1</v>
      </c>
      <c r="AE7" s="958">
        <v>14</v>
      </c>
      <c r="AF7" s="958">
        <v>13</v>
      </c>
      <c r="AG7" s="1002">
        <v>0.37</v>
      </c>
      <c r="AH7" s="982">
        <v>61.85</v>
      </c>
      <c r="AI7" s="958">
        <v>106</v>
      </c>
      <c r="AJ7" s="958">
        <v>100</v>
      </c>
      <c r="AK7" s="1002">
        <v>165</v>
      </c>
      <c r="AL7" s="982"/>
      <c r="AM7" s="958"/>
      <c r="AN7" s="958"/>
      <c r="AO7" s="1002"/>
      <c r="AP7" s="982">
        <v>582.75</v>
      </c>
      <c r="AQ7" s="958">
        <v>1406</v>
      </c>
      <c r="AR7" s="958">
        <v>1416</v>
      </c>
      <c r="AS7" s="1002">
        <v>1735.25</v>
      </c>
      <c r="AT7" s="958">
        <v>877.6</v>
      </c>
      <c r="AU7" s="958">
        <v>926</v>
      </c>
      <c r="AV7" s="958">
        <v>903</v>
      </c>
      <c r="AW7" s="1002">
        <v>3766</v>
      </c>
      <c r="AX7" s="982">
        <v>5.63</v>
      </c>
      <c r="AY7" s="958">
        <v>1007</v>
      </c>
      <c r="AZ7" s="958">
        <v>820</v>
      </c>
      <c r="BA7" s="1002">
        <v>16.66</v>
      </c>
      <c r="BB7" s="982">
        <v>64.69</v>
      </c>
      <c r="BC7" s="958">
        <v>134</v>
      </c>
      <c r="BD7" s="958">
        <v>134</v>
      </c>
      <c r="BE7" s="1002">
        <v>681.06</v>
      </c>
      <c r="BF7" s="982">
        <v>61.76</v>
      </c>
      <c r="BG7" s="958">
        <v>174</v>
      </c>
      <c r="BH7" s="958">
        <v>188</v>
      </c>
      <c r="BI7" s="1002">
        <v>3663.07</v>
      </c>
      <c r="BJ7" s="982">
        <v>254.89</v>
      </c>
      <c r="BK7" s="958"/>
      <c r="BL7" s="958"/>
      <c r="BM7" s="1002">
        <v>847.2</v>
      </c>
      <c r="BN7" s="982"/>
      <c r="BO7" s="958"/>
      <c r="BP7" s="958"/>
      <c r="BQ7" s="1002"/>
      <c r="BR7" s="982">
        <v>2</v>
      </c>
      <c r="BS7" s="958">
        <v>1</v>
      </c>
      <c r="BT7" s="958">
        <v>1</v>
      </c>
      <c r="BU7" s="1002"/>
      <c r="BV7" s="982"/>
      <c r="BW7" s="958"/>
      <c r="BX7" s="958"/>
      <c r="BY7" s="1002"/>
      <c r="BZ7" s="982">
        <v>16</v>
      </c>
      <c r="CA7" s="958">
        <v>3639</v>
      </c>
      <c r="CB7" s="958">
        <f t="shared" si="0"/>
        <v>3639</v>
      </c>
      <c r="CC7" s="983">
        <v>140</v>
      </c>
      <c r="CD7" s="984">
        <v>59.08</v>
      </c>
      <c r="CE7" s="958">
        <v>131</v>
      </c>
      <c r="CF7" s="958">
        <v>111</v>
      </c>
      <c r="CG7" s="1002">
        <v>113.18</v>
      </c>
      <c r="CH7" s="982">
        <v>0.66</v>
      </c>
      <c r="CI7" s="958">
        <v>1</v>
      </c>
      <c r="CJ7" s="958">
        <v>1</v>
      </c>
      <c r="CK7" s="1002">
        <v>100</v>
      </c>
      <c r="CL7" s="982">
        <v>2</v>
      </c>
      <c r="CM7" s="958">
        <v>5</v>
      </c>
      <c r="CN7" s="958">
        <v>5</v>
      </c>
      <c r="CO7" s="1002">
        <v>159</v>
      </c>
      <c r="CP7" s="982"/>
      <c r="CQ7" s="958"/>
      <c r="CR7" s="958"/>
      <c r="CS7" s="1002"/>
    </row>
    <row r="8" spans="1:97" ht="16.5">
      <c r="A8" s="957" t="s">
        <v>427</v>
      </c>
      <c r="B8" s="974">
        <v>1201</v>
      </c>
      <c r="C8" s="1000">
        <v>186</v>
      </c>
      <c r="D8" s="1001">
        <v>186</v>
      </c>
      <c r="E8" s="1002">
        <v>1903</v>
      </c>
      <c r="F8" s="984">
        <v>7</v>
      </c>
      <c r="G8" s="958">
        <v>1</v>
      </c>
      <c r="H8" s="958">
        <v>1</v>
      </c>
      <c r="I8" s="1002">
        <v>400</v>
      </c>
      <c r="J8" s="982">
        <v>25</v>
      </c>
      <c r="K8" s="958">
        <v>4</v>
      </c>
      <c r="L8" s="958">
        <v>3</v>
      </c>
      <c r="M8" s="1002">
        <v>76</v>
      </c>
      <c r="N8" s="982">
        <v>47</v>
      </c>
      <c r="O8" s="958">
        <v>50</v>
      </c>
      <c r="P8" s="958">
        <v>36</v>
      </c>
      <c r="Q8" s="983">
        <v>526</v>
      </c>
      <c r="R8" s="984">
        <v>4.19</v>
      </c>
      <c r="S8" s="958">
        <v>69</v>
      </c>
      <c r="T8" s="958">
        <v>65</v>
      </c>
      <c r="U8" s="1002">
        <v>20.51</v>
      </c>
      <c r="V8" s="982">
        <v>82</v>
      </c>
      <c r="W8" s="958">
        <v>15</v>
      </c>
      <c r="X8" s="958">
        <v>11</v>
      </c>
      <c r="Y8" s="1002">
        <v>311.7</v>
      </c>
      <c r="Z8" s="982">
        <v>19.73</v>
      </c>
      <c r="AA8" s="958">
        <v>3</v>
      </c>
      <c r="AB8" s="958">
        <v>3</v>
      </c>
      <c r="AC8" s="1002">
        <v>24.66</v>
      </c>
      <c r="AD8" s="982">
        <v>0</v>
      </c>
      <c r="AE8" s="958">
        <v>7</v>
      </c>
      <c r="AF8" s="958">
        <v>6</v>
      </c>
      <c r="AG8" s="1002">
        <v>0.18</v>
      </c>
      <c r="AH8" s="982">
        <v>10.09</v>
      </c>
      <c r="AI8" s="958">
        <v>15</v>
      </c>
      <c r="AJ8" s="958">
        <v>14</v>
      </c>
      <c r="AK8" s="1002">
        <v>23.12</v>
      </c>
      <c r="AL8" s="982">
        <v>-1</v>
      </c>
      <c r="AM8" s="958">
        <v>-1</v>
      </c>
      <c r="AN8" s="958">
        <v>-1</v>
      </c>
      <c r="AO8" s="1002">
        <v>-1</v>
      </c>
      <c r="AP8" s="982">
        <v>230.78</v>
      </c>
      <c r="AQ8" s="958">
        <v>370</v>
      </c>
      <c r="AR8" s="958">
        <v>373</v>
      </c>
      <c r="AS8" s="1002">
        <v>1644.85</v>
      </c>
      <c r="AT8" s="958">
        <v>385.2</v>
      </c>
      <c r="AU8" s="958">
        <v>321</v>
      </c>
      <c r="AV8" s="958">
        <v>317</v>
      </c>
      <c r="AW8" s="1002">
        <v>1629.1</v>
      </c>
      <c r="AX8" s="982">
        <v>0.74</v>
      </c>
      <c r="AY8" s="958">
        <v>114</v>
      </c>
      <c r="AZ8" s="958">
        <v>95</v>
      </c>
      <c r="BA8" s="1002">
        <v>3.96</v>
      </c>
      <c r="BB8" s="982">
        <v>19.97</v>
      </c>
      <c r="BC8" s="958">
        <v>31</v>
      </c>
      <c r="BD8" s="958">
        <v>31</v>
      </c>
      <c r="BE8" s="1002">
        <v>304.89</v>
      </c>
      <c r="BF8" s="982">
        <v>50.37</v>
      </c>
      <c r="BG8" s="958">
        <v>81</v>
      </c>
      <c r="BH8" s="958">
        <v>82</v>
      </c>
      <c r="BI8" s="1002">
        <v>1903.99</v>
      </c>
      <c r="BJ8" s="982">
        <v>92.82</v>
      </c>
      <c r="BK8" s="958">
        <v>5</v>
      </c>
      <c r="BL8" s="958">
        <v>5</v>
      </c>
      <c r="BM8" s="1002">
        <v>332.8</v>
      </c>
      <c r="BN8" s="982"/>
      <c r="BO8" s="958"/>
      <c r="BP8" s="958"/>
      <c r="BQ8" s="1002"/>
      <c r="BR8" s="982">
        <v>40</v>
      </c>
      <c r="BS8" s="958">
        <v>49</v>
      </c>
      <c r="BT8" s="958">
        <v>46</v>
      </c>
      <c r="BU8" s="1002">
        <v>92</v>
      </c>
      <c r="BV8" s="982"/>
      <c r="BW8" s="958"/>
      <c r="BX8" s="958"/>
      <c r="BY8" s="1002"/>
      <c r="BZ8" s="982">
        <v>12</v>
      </c>
      <c r="CA8" s="958">
        <v>1851</v>
      </c>
      <c r="CB8" s="958">
        <f t="shared" si="0"/>
        <v>1851</v>
      </c>
      <c r="CC8" s="983">
        <v>84</v>
      </c>
      <c r="CD8" s="984">
        <v>15.89</v>
      </c>
      <c r="CE8" s="958">
        <v>26</v>
      </c>
      <c r="CF8" s="958">
        <v>22</v>
      </c>
      <c r="CG8" s="1002">
        <v>23.75</v>
      </c>
      <c r="CH8" s="982">
        <v>1.23</v>
      </c>
      <c r="CI8" s="958">
        <v>2</v>
      </c>
      <c r="CJ8" s="958">
        <v>2</v>
      </c>
      <c r="CK8" s="1002">
        <v>110</v>
      </c>
      <c r="CL8" s="982">
        <v>8</v>
      </c>
      <c r="CM8" s="958">
        <v>12</v>
      </c>
      <c r="CN8" s="958">
        <v>12</v>
      </c>
      <c r="CO8" s="1002">
        <v>620</v>
      </c>
      <c r="CP8" s="982"/>
      <c r="CQ8" s="958"/>
      <c r="CR8" s="958"/>
      <c r="CS8" s="1002"/>
    </row>
    <row r="9" spans="1:97" ht="16.5">
      <c r="A9" s="957" t="s">
        <v>428</v>
      </c>
      <c r="B9" s="975">
        <v>1314</v>
      </c>
      <c r="C9" s="1000">
        <v>132</v>
      </c>
      <c r="D9" s="1001">
        <v>132</v>
      </c>
      <c r="E9" s="1002">
        <v>2084</v>
      </c>
      <c r="F9" s="984">
        <v>8</v>
      </c>
      <c r="G9" s="958">
        <v>1</v>
      </c>
      <c r="H9" s="958">
        <v>1</v>
      </c>
      <c r="I9" s="1002">
        <v>200</v>
      </c>
      <c r="J9" s="982">
        <v>30</v>
      </c>
      <c r="K9" s="958">
        <v>3</v>
      </c>
      <c r="L9" s="958">
        <v>3</v>
      </c>
      <c r="M9" s="1002">
        <v>32</v>
      </c>
      <c r="N9" s="982">
        <v>174</v>
      </c>
      <c r="O9" s="958">
        <v>156</v>
      </c>
      <c r="P9" s="958">
        <v>119</v>
      </c>
      <c r="Q9" s="983">
        <v>1169</v>
      </c>
      <c r="R9" s="984">
        <v>7.12</v>
      </c>
      <c r="S9" s="958">
        <v>75</v>
      </c>
      <c r="T9" s="958">
        <v>72</v>
      </c>
      <c r="U9" s="1002">
        <v>50.03</v>
      </c>
      <c r="V9" s="982">
        <v>602.8</v>
      </c>
      <c r="W9" s="958">
        <v>63</v>
      </c>
      <c r="X9" s="958">
        <v>55</v>
      </c>
      <c r="Y9" s="1002">
        <v>1264.7</v>
      </c>
      <c r="Z9" s="982">
        <v>26</v>
      </c>
      <c r="AA9" s="958">
        <v>3</v>
      </c>
      <c r="AB9" s="958">
        <v>3</v>
      </c>
      <c r="AC9" s="1002">
        <v>32.5</v>
      </c>
      <c r="AD9" s="982">
        <v>0.3</v>
      </c>
      <c r="AE9" s="958">
        <v>25</v>
      </c>
      <c r="AF9" s="958">
        <v>23</v>
      </c>
      <c r="AG9" s="1002">
        <v>0.64</v>
      </c>
      <c r="AH9" s="982">
        <v>151.41</v>
      </c>
      <c r="AI9" s="958">
        <v>128</v>
      </c>
      <c r="AJ9" s="958">
        <v>126</v>
      </c>
      <c r="AK9" s="1002">
        <v>291.45</v>
      </c>
      <c r="AL9" s="982">
        <v>22</v>
      </c>
      <c r="AM9" s="958">
        <v>20</v>
      </c>
      <c r="AN9" s="958">
        <v>8</v>
      </c>
      <c r="AO9" s="1002">
        <v>25</v>
      </c>
      <c r="AP9" s="982">
        <v>950.06</v>
      </c>
      <c r="AQ9" s="958">
        <v>974</v>
      </c>
      <c r="AR9" s="958">
        <v>994</v>
      </c>
      <c r="AS9" s="1002">
        <v>3133.89</v>
      </c>
      <c r="AT9" s="958">
        <v>1280.4</v>
      </c>
      <c r="AU9" s="958">
        <v>1017</v>
      </c>
      <c r="AV9" s="958">
        <v>1005</v>
      </c>
      <c r="AW9" s="1002">
        <v>6757.5</v>
      </c>
      <c r="AX9" s="982">
        <v>6.37</v>
      </c>
      <c r="AY9" s="958">
        <v>842</v>
      </c>
      <c r="AZ9" s="958">
        <v>687</v>
      </c>
      <c r="BA9" s="1002">
        <v>28.17</v>
      </c>
      <c r="BB9" s="982">
        <v>190.63</v>
      </c>
      <c r="BC9" s="958">
        <v>193</v>
      </c>
      <c r="BD9" s="958">
        <v>193</v>
      </c>
      <c r="BE9" s="1002">
        <v>470.79</v>
      </c>
      <c r="BF9" s="982">
        <v>642.19</v>
      </c>
      <c r="BG9" s="958">
        <v>654</v>
      </c>
      <c r="BH9" s="958">
        <v>641</v>
      </c>
      <c r="BI9" s="1002">
        <v>4580.04</v>
      </c>
      <c r="BJ9" s="982">
        <v>86.75</v>
      </c>
      <c r="BK9" s="958">
        <v>199</v>
      </c>
      <c r="BL9" s="958">
        <v>191</v>
      </c>
      <c r="BM9" s="1002">
        <v>289.1</v>
      </c>
      <c r="BN9" s="982"/>
      <c r="BO9" s="958"/>
      <c r="BP9" s="958"/>
      <c r="BQ9" s="1002"/>
      <c r="BR9" s="982">
        <v>208</v>
      </c>
      <c r="BS9" s="958">
        <v>214</v>
      </c>
      <c r="BT9" s="958">
        <v>198</v>
      </c>
      <c r="BU9" s="1002">
        <v>520</v>
      </c>
      <c r="BV9" s="982"/>
      <c r="BW9" s="958"/>
      <c r="BX9" s="958"/>
      <c r="BY9" s="1002"/>
      <c r="BZ9" s="982">
        <v>59</v>
      </c>
      <c r="CA9" s="958">
        <v>5992</v>
      </c>
      <c r="CB9" s="958">
        <f t="shared" si="0"/>
        <v>5992</v>
      </c>
      <c r="CC9" s="983">
        <v>119</v>
      </c>
      <c r="CD9" s="984">
        <v>280.15</v>
      </c>
      <c r="CE9" s="958">
        <v>283</v>
      </c>
      <c r="CF9" s="958">
        <v>262</v>
      </c>
      <c r="CG9" s="1002">
        <v>784.93</v>
      </c>
      <c r="CH9" s="982">
        <v>938.25</v>
      </c>
      <c r="CI9" s="958">
        <v>938</v>
      </c>
      <c r="CJ9" s="958">
        <v>938</v>
      </c>
      <c r="CK9" s="1002">
        <v>1415.33</v>
      </c>
      <c r="CL9" s="982">
        <v>60</v>
      </c>
      <c r="CM9" s="958">
        <v>61</v>
      </c>
      <c r="CN9" s="958">
        <v>57</v>
      </c>
      <c r="CO9" s="1002">
        <v>526</v>
      </c>
      <c r="CP9" s="982"/>
      <c r="CQ9" s="958"/>
      <c r="CR9" s="958"/>
      <c r="CS9" s="1002"/>
    </row>
    <row r="10" spans="1:97" ht="16.5">
      <c r="A10" s="957" t="s">
        <v>429</v>
      </c>
      <c r="B10" s="974">
        <v>839</v>
      </c>
      <c r="C10" s="1000">
        <v>71</v>
      </c>
      <c r="D10" s="1001">
        <v>71</v>
      </c>
      <c r="E10" s="1002">
        <v>1331</v>
      </c>
      <c r="F10" s="984"/>
      <c r="G10" s="958"/>
      <c r="H10" s="958"/>
      <c r="I10" s="1002"/>
      <c r="J10" s="982"/>
      <c r="K10" s="958"/>
      <c r="L10" s="958"/>
      <c r="M10" s="1002"/>
      <c r="N10" s="982">
        <v>31</v>
      </c>
      <c r="O10" s="958">
        <v>22</v>
      </c>
      <c r="P10" s="958">
        <v>18</v>
      </c>
      <c r="Q10" s="983">
        <v>539</v>
      </c>
      <c r="R10" s="984">
        <v>0.36</v>
      </c>
      <c r="S10" s="958">
        <v>3</v>
      </c>
      <c r="T10" s="958">
        <v>3</v>
      </c>
      <c r="U10" s="1002">
        <v>1.4</v>
      </c>
      <c r="V10" s="982">
        <v>36</v>
      </c>
      <c r="W10" s="958">
        <v>3</v>
      </c>
      <c r="X10" s="958">
        <v>3</v>
      </c>
      <c r="Y10" s="1002">
        <v>45</v>
      </c>
      <c r="Z10" s="982"/>
      <c r="AA10" s="958"/>
      <c r="AB10" s="958"/>
      <c r="AC10" s="1002"/>
      <c r="AD10" s="982">
        <v>0</v>
      </c>
      <c r="AE10" s="958"/>
      <c r="AF10" s="958"/>
      <c r="AG10" s="1002"/>
      <c r="AH10" s="982">
        <v>20.8</v>
      </c>
      <c r="AI10" s="958">
        <v>19</v>
      </c>
      <c r="AJ10" s="958">
        <v>19</v>
      </c>
      <c r="AK10" s="1002">
        <v>47.17</v>
      </c>
      <c r="AL10" s="982">
        <v>5</v>
      </c>
      <c r="AM10" s="958">
        <v>4</v>
      </c>
      <c r="AN10" s="958">
        <v>1</v>
      </c>
      <c r="AO10" s="1002">
        <v>6</v>
      </c>
      <c r="AP10" s="982">
        <v>248.89</v>
      </c>
      <c r="AQ10" s="958">
        <v>219</v>
      </c>
      <c r="AR10" s="958">
        <v>222</v>
      </c>
      <c r="AS10" s="1002">
        <v>2148.63</v>
      </c>
      <c r="AT10" s="958">
        <v>310.8</v>
      </c>
      <c r="AU10" s="958">
        <v>212</v>
      </c>
      <c r="AV10" s="958">
        <v>211</v>
      </c>
      <c r="AW10" s="1002">
        <v>1824.1</v>
      </c>
      <c r="AX10" s="982">
        <v>0.65</v>
      </c>
      <c r="AY10" s="958">
        <v>47</v>
      </c>
      <c r="AZ10" s="958">
        <v>40</v>
      </c>
      <c r="BA10" s="1002">
        <v>2.69</v>
      </c>
      <c r="BB10" s="982">
        <v>18.08</v>
      </c>
      <c r="BC10" s="958">
        <v>16</v>
      </c>
      <c r="BD10" s="958">
        <v>16</v>
      </c>
      <c r="BE10" s="1002">
        <v>122.23</v>
      </c>
      <c r="BF10" s="982">
        <v>185.98</v>
      </c>
      <c r="BG10" s="958">
        <v>170</v>
      </c>
      <c r="BH10" s="958">
        <v>170</v>
      </c>
      <c r="BI10" s="1002">
        <v>3424.26</v>
      </c>
      <c r="BJ10" s="982">
        <v>34.74</v>
      </c>
      <c r="BK10" s="958">
        <v>59</v>
      </c>
      <c r="BL10" s="958">
        <v>57</v>
      </c>
      <c r="BM10" s="1002">
        <v>134.51</v>
      </c>
      <c r="BN10" s="982"/>
      <c r="BO10" s="958"/>
      <c r="BP10" s="958"/>
      <c r="BQ10" s="1002"/>
      <c r="BR10" s="982">
        <v>26</v>
      </c>
      <c r="BS10" s="958">
        <v>21</v>
      </c>
      <c r="BT10" s="958">
        <v>18</v>
      </c>
      <c r="BU10" s="1002">
        <v>58</v>
      </c>
      <c r="BV10" s="982"/>
      <c r="BW10" s="958"/>
      <c r="BX10" s="958"/>
      <c r="BY10" s="1002"/>
      <c r="BZ10" s="982">
        <v>11</v>
      </c>
      <c r="CA10" s="958">
        <v>979</v>
      </c>
      <c r="CB10" s="958">
        <f t="shared" si="0"/>
        <v>979</v>
      </c>
      <c r="CC10" s="983">
        <v>50</v>
      </c>
      <c r="CD10" s="984">
        <v>82.6</v>
      </c>
      <c r="CE10" s="958">
        <v>22</v>
      </c>
      <c r="CF10" s="958">
        <v>61</v>
      </c>
      <c r="CG10" s="1002">
        <v>192.17</v>
      </c>
      <c r="CH10" s="982">
        <v>73.26</v>
      </c>
      <c r="CI10" s="958">
        <v>63</v>
      </c>
      <c r="CJ10" s="958">
        <v>63</v>
      </c>
      <c r="CK10" s="1002">
        <v>200.75</v>
      </c>
      <c r="CL10" s="982">
        <v>19</v>
      </c>
      <c r="CM10" s="958">
        <v>17</v>
      </c>
      <c r="CN10" s="958">
        <v>17</v>
      </c>
      <c r="CO10" s="1002">
        <v>609</v>
      </c>
      <c r="CP10" s="982"/>
      <c r="CQ10" s="958"/>
      <c r="CR10" s="958"/>
      <c r="CS10" s="1002"/>
    </row>
    <row r="11" spans="1:97" ht="16.5">
      <c r="A11" s="957" t="s">
        <v>430</v>
      </c>
      <c r="B11" s="975">
        <v>7923</v>
      </c>
      <c r="C11" s="1000">
        <v>203</v>
      </c>
      <c r="D11" s="1001">
        <v>203</v>
      </c>
      <c r="E11" s="1002">
        <v>12560</v>
      </c>
      <c r="F11" s="984">
        <v>4</v>
      </c>
      <c r="G11" s="958"/>
      <c r="H11" s="958"/>
      <c r="I11" s="1002"/>
      <c r="J11" s="982">
        <v>230</v>
      </c>
      <c r="K11" s="958">
        <v>4</v>
      </c>
      <c r="L11" s="958">
        <v>3</v>
      </c>
      <c r="M11" s="1002">
        <v>385</v>
      </c>
      <c r="N11" s="982">
        <v>2867</v>
      </c>
      <c r="O11" s="958">
        <v>393</v>
      </c>
      <c r="P11" s="958">
        <v>276</v>
      </c>
      <c r="Q11" s="983">
        <v>15711</v>
      </c>
      <c r="R11" s="984">
        <v>25.81</v>
      </c>
      <c r="S11" s="958">
        <v>87</v>
      </c>
      <c r="T11" s="958">
        <v>81</v>
      </c>
      <c r="U11" s="1002">
        <v>168.64</v>
      </c>
      <c r="V11" s="982">
        <v>798.2</v>
      </c>
      <c r="W11" s="958">
        <v>32</v>
      </c>
      <c r="X11" s="958">
        <v>26</v>
      </c>
      <c r="Y11" s="1002">
        <v>1434.3</v>
      </c>
      <c r="Z11" s="982">
        <v>13</v>
      </c>
      <c r="AA11" s="958">
        <v>1</v>
      </c>
      <c r="AB11" s="958">
        <v>1</v>
      </c>
      <c r="AC11" s="1002">
        <v>16.25</v>
      </c>
      <c r="AD11" s="982">
        <v>4.6</v>
      </c>
      <c r="AE11" s="958">
        <v>62</v>
      </c>
      <c r="AF11" s="958">
        <v>46</v>
      </c>
      <c r="AG11" s="1002">
        <v>7.86</v>
      </c>
      <c r="AH11" s="982">
        <v>2900.79</v>
      </c>
      <c r="AI11" s="958">
        <v>261</v>
      </c>
      <c r="AJ11" s="958">
        <v>250</v>
      </c>
      <c r="AK11" s="1002">
        <v>3600.1</v>
      </c>
      <c r="AL11" s="982">
        <v>103</v>
      </c>
      <c r="AM11" s="958">
        <v>26</v>
      </c>
      <c r="AN11" s="958">
        <v>13</v>
      </c>
      <c r="AO11" s="1002">
        <v>129</v>
      </c>
      <c r="AP11" s="982">
        <v>24469.66</v>
      </c>
      <c r="AQ11" s="958">
        <v>2975</v>
      </c>
      <c r="AR11" s="958">
        <v>3108</v>
      </c>
      <c r="AS11" s="1002">
        <v>87010.24</v>
      </c>
      <c r="AT11" s="958">
        <v>32853</v>
      </c>
      <c r="AU11" s="958">
        <v>4326</v>
      </c>
      <c r="AV11" s="958">
        <v>4244</v>
      </c>
      <c r="AW11" s="1002">
        <v>193057.2</v>
      </c>
      <c r="AX11" s="982">
        <v>169.83</v>
      </c>
      <c r="AY11" s="958">
        <v>2948</v>
      </c>
      <c r="AZ11" s="958">
        <v>2364</v>
      </c>
      <c r="BA11" s="1002">
        <v>344.28</v>
      </c>
      <c r="BB11" s="982">
        <v>2516.24</v>
      </c>
      <c r="BC11" s="958">
        <v>478</v>
      </c>
      <c r="BD11" s="958">
        <v>478</v>
      </c>
      <c r="BE11" s="1002">
        <v>4063.04</v>
      </c>
      <c r="BF11" s="982">
        <v>96303.61</v>
      </c>
      <c r="BG11" s="958">
        <v>12789</v>
      </c>
      <c r="BH11" s="958">
        <v>11990</v>
      </c>
      <c r="BI11" s="1002">
        <v>956826.01</v>
      </c>
      <c r="BJ11" s="982">
        <v>175.81</v>
      </c>
      <c r="BK11" s="958">
        <v>783</v>
      </c>
      <c r="BL11" s="958">
        <v>736</v>
      </c>
      <c r="BM11" s="1002">
        <v>580.27</v>
      </c>
      <c r="BN11" s="982"/>
      <c r="BO11" s="958"/>
      <c r="BP11" s="958"/>
      <c r="BQ11" s="1002"/>
      <c r="BR11" s="982">
        <v>1520</v>
      </c>
      <c r="BS11" s="958">
        <v>268</v>
      </c>
      <c r="BT11" s="958">
        <v>224</v>
      </c>
      <c r="BU11" s="1002">
        <v>2971</v>
      </c>
      <c r="BV11" s="982"/>
      <c r="BW11" s="958"/>
      <c r="BX11" s="958"/>
      <c r="BY11" s="1002"/>
      <c r="BZ11" s="982">
        <v>2429</v>
      </c>
      <c r="CA11" s="958">
        <v>34389</v>
      </c>
      <c r="CB11" s="958">
        <f t="shared" si="0"/>
        <v>34389</v>
      </c>
      <c r="CC11" s="983">
        <v>1660</v>
      </c>
      <c r="CD11" s="984">
        <v>2150.44</v>
      </c>
      <c r="CE11" s="958">
        <v>556</v>
      </c>
      <c r="CF11" s="958">
        <v>490</v>
      </c>
      <c r="CG11" s="1002">
        <v>1614.63</v>
      </c>
      <c r="CH11" s="982">
        <v>5346.88</v>
      </c>
      <c r="CI11" s="958">
        <v>1196</v>
      </c>
      <c r="CJ11" s="958">
        <v>1196</v>
      </c>
      <c r="CK11" s="1002">
        <v>8113.21</v>
      </c>
      <c r="CL11" s="982">
        <v>28743</v>
      </c>
      <c r="CM11" s="958">
        <v>1011</v>
      </c>
      <c r="CN11" s="958">
        <v>1201</v>
      </c>
      <c r="CO11" s="1002">
        <v>314784</v>
      </c>
      <c r="CP11" s="982"/>
      <c r="CQ11" s="958"/>
      <c r="CR11" s="958"/>
      <c r="CS11" s="1002"/>
    </row>
    <row r="12" spans="1:97" ht="16.5">
      <c r="A12" s="956" t="s">
        <v>431</v>
      </c>
      <c r="B12" s="984"/>
      <c r="C12" s="958"/>
      <c r="D12" s="958"/>
      <c r="E12" s="1002"/>
      <c r="F12" s="984"/>
      <c r="G12" s="958"/>
      <c r="H12" s="958"/>
      <c r="I12" s="1002"/>
      <c r="J12" s="982"/>
      <c r="K12" s="958"/>
      <c r="L12" s="958"/>
      <c r="M12" s="1002"/>
      <c r="N12" s="982"/>
      <c r="O12" s="958"/>
      <c r="P12" s="958"/>
      <c r="Q12" s="983"/>
      <c r="R12" s="984"/>
      <c r="S12" s="958"/>
      <c r="T12" s="958"/>
      <c r="U12" s="1002"/>
      <c r="V12" s="982"/>
      <c r="W12" s="958"/>
      <c r="X12" s="958"/>
      <c r="Y12" s="1002"/>
      <c r="Z12" s="982"/>
      <c r="AA12" s="958"/>
      <c r="AB12" s="958"/>
      <c r="AC12" s="1002"/>
      <c r="AD12" s="982"/>
      <c r="AE12" s="958"/>
      <c r="AF12" s="958"/>
      <c r="AG12" s="1002"/>
      <c r="AH12" s="982"/>
      <c r="AI12" s="958"/>
      <c r="AJ12" s="958"/>
      <c r="AK12" s="1002"/>
      <c r="AL12" s="982"/>
      <c r="AM12" s="958"/>
      <c r="AN12" s="958"/>
      <c r="AO12" s="1002"/>
      <c r="AP12" s="982"/>
      <c r="AQ12" s="958"/>
      <c r="AR12" s="958"/>
      <c r="AS12" s="1002"/>
      <c r="AT12" s="982"/>
      <c r="AU12" s="958"/>
      <c r="AV12" s="958"/>
      <c r="AW12" s="1002"/>
      <c r="AX12" s="982"/>
      <c r="AY12" s="958"/>
      <c r="AZ12" s="958"/>
      <c r="BA12" s="1002"/>
      <c r="BB12" s="982"/>
      <c r="BC12" s="958"/>
      <c r="BD12" s="958"/>
      <c r="BE12" s="1002"/>
      <c r="BF12" s="982"/>
      <c r="BG12" s="958"/>
      <c r="BH12" s="958"/>
      <c r="BI12" s="1002"/>
      <c r="BJ12" s="982"/>
      <c r="BK12" s="958"/>
      <c r="BL12" s="958"/>
      <c r="BM12" s="1002"/>
      <c r="BN12" s="982"/>
      <c r="BO12" s="958"/>
      <c r="BP12" s="958"/>
      <c r="BQ12" s="1002"/>
      <c r="BR12" s="982"/>
      <c r="BS12" s="958"/>
      <c r="BT12" s="958"/>
      <c r="BU12" s="1002"/>
      <c r="BV12" s="982"/>
      <c r="BW12" s="958"/>
      <c r="BX12" s="958"/>
      <c r="BY12" s="1002"/>
      <c r="BZ12" s="982"/>
      <c r="CA12" s="958"/>
      <c r="CB12" s="958"/>
      <c r="CC12" s="983"/>
      <c r="CD12" s="984"/>
      <c r="CE12" s="958"/>
      <c r="CF12" s="958"/>
      <c r="CG12" s="1002"/>
      <c r="CH12" s="982"/>
      <c r="CI12" s="958"/>
      <c r="CJ12" s="958"/>
      <c r="CK12" s="1002"/>
      <c r="CL12" s="982"/>
      <c r="CM12" s="958"/>
      <c r="CN12" s="958"/>
      <c r="CO12" s="1002"/>
      <c r="CP12" s="982"/>
      <c r="CQ12" s="958"/>
      <c r="CR12" s="958"/>
      <c r="CS12" s="1002"/>
    </row>
    <row r="13" spans="1:97" ht="16.5">
      <c r="A13" s="957" t="s">
        <v>432</v>
      </c>
      <c r="B13" s="1003"/>
      <c r="C13" s="958"/>
      <c r="D13" s="1004"/>
      <c r="E13" s="1002"/>
      <c r="F13" s="984"/>
      <c r="G13" s="958"/>
      <c r="H13" s="958"/>
      <c r="I13" s="1002"/>
      <c r="J13" s="982">
        <v>244</v>
      </c>
      <c r="K13" s="958">
        <v>80</v>
      </c>
      <c r="L13" s="958">
        <v>63</v>
      </c>
      <c r="M13" s="1002"/>
      <c r="N13" s="982">
        <v>-12</v>
      </c>
      <c r="O13" s="958">
        <v>-1</v>
      </c>
      <c r="P13" s="958">
        <v>-1</v>
      </c>
      <c r="Q13" s="983">
        <v>1</v>
      </c>
      <c r="R13" s="984"/>
      <c r="S13" s="958"/>
      <c r="T13" s="958"/>
      <c r="U13" s="1002"/>
      <c r="V13" s="982">
        <v>5244.6</v>
      </c>
      <c r="W13" s="982">
        <v>1499</v>
      </c>
      <c r="X13" s="958">
        <v>1396</v>
      </c>
      <c r="Y13" s="1002">
        <v>5249.5</v>
      </c>
      <c r="Z13" s="982"/>
      <c r="AA13" s="958"/>
      <c r="AB13" s="958"/>
      <c r="AC13" s="1002"/>
      <c r="AD13" s="982"/>
      <c r="AE13" s="958"/>
      <c r="AF13" s="958"/>
      <c r="AG13" s="1002"/>
      <c r="AH13" s="982"/>
      <c r="AI13" s="958"/>
      <c r="AJ13" s="958"/>
      <c r="AK13" s="1002"/>
      <c r="AL13" s="982">
        <v>3</v>
      </c>
      <c r="AM13" s="958">
        <v>7</v>
      </c>
      <c r="AN13" s="958">
        <v>7</v>
      </c>
      <c r="AO13" s="1002"/>
      <c r="AP13" s="982">
        <v>108.87</v>
      </c>
      <c r="AQ13" s="958">
        <v>311</v>
      </c>
      <c r="AR13" s="958">
        <v>318</v>
      </c>
      <c r="AS13" s="1002">
        <v>6.62</v>
      </c>
      <c r="AT13" s="982">
        <v>6172</v>
      </c>
      <c r="AU13" s="958">
        <v>1091</v>
      </c>
      <c r="AV13" s="958">
        <v>1089</v>
      </c>
      <c r="AW13" s="1002">
        <v>1669.9</v>
      </c>
      <c r="AX13" s="982">
        <v>0</v>
      </c>
      <c r="AY13" s="958"/>
      <c r="AZ13" s="958"/>
      <c r="BA13" s="1002"/>
      <c r="BB13" s="982"/>
      <c r="BC13" s="958"/>
      <c r="BD13" s="958"/>
      <c r="BE13" s="1002"/>
      <c r="BF13" s="982">
        <v>0</v>
      </c>
      <c r="BG13" s="958"/>
      <c r="BH13" s="958"/>
      <c r="BI13" s="1002"/>
      <c r="BJ13" s="982">
        <v>1.72</v>
      </c>
      <c r="BK13" s="958">
        <v>0</v>
      </c>
      <c r="BL13" s="958"/>
      <c r="BM13" s="1002">
        <v>1.55</v>
      </c>
      <c r="BN13" s="982"/>
      <c r="BO13" s="958"/>
      <c r="BP13" s="958"/>
      <c r="BQ13" s="1002"/>
      <c r="BR13" s="982">
        <v>0</v>
      </c>
      <c r="BS13" s="958"/>
      <c r="BT13" s="958"/>
      <c r="BU13" s="1002"/>
      <c r="BV13" s="982"/>
      <c r="BW13" s="958"/>
      <c r="BX13" s="958"/>
      <c r="BY13" s="1002"/>
      <c r="BZ13" s="982"/>
      <c r="CA13" s="958"/>
      <c r="CB13" s="958"/>
      <c r="CC13" s="983"/>
      <c r="CD13" s="984">
        <v>0</v>
      </c>
      <c r="CE13" s="958">
        <v>0</v>
      </c>
      <c r="CF13" s="958"/>
      <c r="CG13" s="1002"/>
      <c r="CH13" s="982">
        <v>0</v>
      </c>
      <c r="CI13" s="958">
        <v>0</v>
      </c>
      <c r="CJ13" s="958">
        <v>0</v>
      </c>
      <c r="CK13" s="1002">
        <v>0</v>
      </c>
      <c r="CL13" s="982"/>
      <c r="CM13" s="958"/>
      <c r="CN13" s="958"/>
      <c r="CO13" s="1002"/>
      <c r="CP13" s="982"/>
      <c r="CQ13" s="958"/>
      <c r="CR13" s="958"/>
      <c r="CS13" s="1002"/>
    </row>
    <row r="14" spans="1:97" ht="16.5">
      <c r="A14" s="957" t="s">
        <v>433</v>
      </c>
      <c r="B14" s="1005"/>
      <c r="C14" s="958"/>
      <c r="D14" s="1006"/>
      <c r="E14" s="1002"/>
      <c r="F14" s="984"/>
      <c r="G14" s="958"/>
      <c r="H14" s="958"/>
      <c r="I14" s="1002"/>
      <c r="J14" s="982">
        <v>170</v>
      </c>
      <c r="K14" s="958">
        <v>25</v>
      </c>
      <c r="L14" s="958">
        <v>21</v>
      </c>
      <c r="M14" s="1002"/>
      <c r="N14" s="982">
        <v>1</v>
      </c>
      <c r="O14" s="958">
        <v>1</v>
      </c>
      <c r="P14" s="958">
        <v>1</v>
      </c>
      <c r="Q14" s="983">
        <v>1</v>
      </c>
      <c r="R14" s="984"/>
      <c r="S14" s="958"/>
      <c r="T14" s="958"/>
      <c r="U14" s="1002"/>
      <c r="V14" s="982">
        <v>2761.7</v>
      </c>
      <c r="W14" s="982">
        <v>793</v>
      </c>
      <c r="X14" s="958">
        <v>729</v>
      </c>
      <c r="Y14" s="1002">
        <v>6781.6</v>
      </c>
      <c r="Z14" s="982"/>
      <c r="AA14" s="958"/>
      <c r="AB14" s="958"/>
      <c r="AC14" s="1002"/>
      <c r="AD14" s="982"/>
      <c r="AE14" s="958"/>
      <c r="AF14" s="958"/>
      <c r="AG14" s="1002"/>
      <c r="AH14" s="982">
        <v>-0.81</v>
      </c>
      <c r="AI14" s="958">
        <v>-1</v>
      </c>
      <c r="AJ14" s="958">
        <v>-1</v>
      </c>
      <c r="AK14" s="1002">
        <v>-0.04</v>
      </c>
      <c r="AL14" s="982">
        <v>23</v>
      </c>
      <c r="AM14" s="958">
        <v>33</v>
      </c>
      <c r="AN14" s="958">
        <v>31</v>
      </c>
      <c r="AO14" s="1002">
        <v>1</v>
      </c>
      <c r="AP14" s="982">
        <v>1187.57</v>
      </c>
      <c r="AQ14" s="958">
        <v>1519</v>
      </c>
      <c r="AR14" s="958">
        <v>1556</v>
      </c>
      <c r="AS14" s="1002">
        <v>71.35</v>
      </c>
      <c r="AT14" s="982">
        <v>1659.3</v>
      </c>
      <c r="AU14" s="958">
        <v>335</v>
      </c>
      <c r="AV14" s="958">
        <v>354</v>
      </c>
      <c r="AW14" s="1002">
        <v>1464.6</v>
      </c>
      <c r="AX14" s="982">
        <v>0</v>
      </c>
      <c r="AY14" s="958"/>
      <c r="AZ14" s="958"/>
      <c r="BA14" s="1002"/>
      <c r="BB14" s="982"/>
      <c r="BC14" s="958"/>
      <c r="BD14" s="958"/>
      <c r="BE14" s="1002"/>
      <c r="BF14" s="982">
        <v>0</v>
      </c>
      <c r="BG14" s="982"/>
      <c r="BH14" s="958"/>
      <c r="BI14" s="1002"/>
      <c r="BJ14" s="982">
        <v>0.05</v>
      </c>
      <c r="BK14" s="958">
        <v>0</v>
      </c>
      <c r="BL14" s="958"/>
      <c r="BM14" s="1002"/>
      <c r="BN14" s="982"/>
      <c r="BO14" s="958"/>
      <c r="BP14" s="958"/>
      <c r="BQ14" s="1002"/>
      <c r="BR14" s="982">
        <v>122</v>
      </c>
      <c r="BS14" s="958">
        <v>124</v>
      </c>
      <c r="BT14" s="958">
        <v>118</v>
      </c>
      <c r="BU14" s="1002">
        <v>7</v>
      </c>
      <c r="BV14" s="982"/>
      <c r="BW14" s="958"/>
      <c r="BX14" s="958"/>
      <c r="BY14" s="1002"/>
      <c r="BZ14" s="982"/>
      <c r="CA14" s="958"/>
      <c r="CB14" s="958"/>
      <c r="CC14" s="983"/>
      <c r="CD14" s="984">
        <v>4.47</v>
      </c>
      <c r="CE14" s="958">
        <v>5</v>
      </c>
      <c r="CF14" s="958">
        <v>5</v>
      </c>
      <c r="CG14" s="1002"/>
      <c r="CH14" s="982">
        <v>0</v>
      </c>
      <c r="CI14" s="958">
        <v>0</v>
      </c>
      <c r="CJ14" s="958">
        <v>0</v>
      </c>
      <c r="CK14" s="1002">
        <v>0</v>
      </c>
      <c r="CL14" s="982"/>
      <c r="CM14" s="958"/>
      <c r="CN14" s="958"/>
      <c r="CO14" s="1002"/>
      <c r="CP14" s="982"/>
      <c r="CQ14" s="958"/>
      <c r="CR14" s="958"/>
      <c r="CS14" s="1002"/>
    </row>
    <row r="15" spans="1:97" ht="16.5">
      <c r="A15" s="957" t="s">
        <v>434</v>
      </c>
      <c r="B15" s="1003"/>
      <c r="C15" s="958"/>
      <c r="D15" s="1004"/>
      <c r="E15" s="1002"/>
      <c r="F15" s="984"/>
      <c r="G15" s="958"/>
      <c r="H15" s="958"/>
      <c r="I15" s="1002"/>
      <c r="J15" s="982">
        <v>76</v>
      </c>
      <c r="K15" s="958">
        <v>6</v>
      </c>
      <c r="L15" s="958">
        <v>5</v>
      </c>
      <c r="M15" s="1002"/>
      <c r="N15" s="982">
        <v>4</v>
      </c>
      <c r="O15" s="958">
        <v>3</v>
      </c>
      <c r="P15" s="958">
        <v>2</v>
      </c>
      <c r="Q15" s="983">
        <v>1</v>
      </c>
      <c r="R15" s="984"/>
      <c r="S15" s="958"/>
      <c r="T15" s="958"/>
      <c r="U15" s="1002"/>
      <c r="V15" s="982">
        <v>3538.9</v>
      </c>
      <c r="W15" s="982">
        <v>264</v>
      </c>
      <c r="X15" s="958">
        <v>250</v>
      </c>
      <c r="Y15" s="1002">
        <v>3553.7</v>
      </c>
      <c r="Z15" s="982"/>
      <c r="AA15" s="958"/>
      <c r="AB15" s="958"/>
      <c r="AC15" s="1002"/>
      <c r="AD15" s="982"/>
      <c r="AE15" s="958"/>
      <c r="AF15" s="958"/>
      <c r="AG15" s="1002"/>
      <c r="AH15" s="982">
        <v>1.47</v>
      </c>
      <c r="AI15" s="958">
        <v>1</v>
      </c>
      <c r="AJ15" s="958">
        <v>1</v>
      </c>
      <c r="AK15" s="1002">
        <v>0.14</v>
      </c>
      <c r="AL15" s="982">
        <v>33</v>
      </c>
      <c r="AM15" s="958">
        <v>26</v>
      </c>
      <c r="AN15" s="958">
        <v>26</v>
      </c>
      <c r="AO15" s="1002">
        <v>2</v>
      </c>
      <c r="AP15" s="982">
        <v>3411.84</v>
      </c>
      <c r="AQ15" s="958">
        <v>2733</v>
      </c>
      <c r="AR15" s="958">
        <v>2838</v>
      </c>
      <c r="AS15" s="1002">
        <v>206.39</v>
      </c>
      <c r="AT15" s="982">
        <v>1459.8</v>
      </c>
      <c r="AU15" s="958">
        <v>456</v>
      </c>
      <c r="AV15" s="958">
        <v>518</v>
      </c>
      <c r="AW15" s="1002">
        <v>1315.8</v>
      </c>
      <c r="AX15" s="982">
        <v>0</v>
      </c>
      <c r="AY15" s="958"/>
      <c r="AZ15" s="958"/>
      <c r="BA15" s="1002"/>
      <c r="BB15" s="982"/>
      <c r="BC15" s="958"/>
      <c r="BD15" s="958"/>
      <c r="BE15" s="1002"/>
      <c r="BF15" s="982">
        <v>8.05</v>
      </c>
      <c r="BG15" s="982">
        <v>6</v>
      </c>
      <c r="BH15" s="958">
        <f>BG15</f>
        <v>6</v>
      </c>
      <c r="BI15" s="1002">
        <v>0.82</v>
      </c>
      <c r="BJ15" s="982">
        <v>0.33</v>
      </c>
      <c r="BK15" s="958">
        <v>20</v>
      </c>
      <c r="BL15" s="958">
        <v>18</v>
      </c>
      <c r="BM15" s="1002">
        <v>0.05</v>
      </c>
      <c r="BN15" s="982"/>
      <c r="BO15" s="958"/>
      <c r="BP15" s="958"/>
      <c r="BQ15" s="1002"/>
      <c r="BR15" s="982">
        <v>267</v>
      </c>
      <c r="BS15" s="958">
        <v>225</v>
      </c>
      <c r="BT15" s="958">
        <v>205</v>
      </c>
      <c r="BU15" s="1002">
        <v>16</v>
      </c>
      <c r="BV15" s="982"/>
      <c r="BW15" s="958"/>
      <c r="BX15" s="958"/>
      <c r="BY15" s="1002"/>
      <c r="BZ15" s="982"/>
      <c r="CA15" s="958"/>
      <c r="CB15" s="958"/>
      <c r="CC15" s="983"/>
      <c r="CD15" s="984">
        <v>13.88</v>
      </c>
      <c r="CE15" s="958">
        <v>10</v>
      </c>
      <c r="CF15" s="958">
        <v>10</v>
      </c>
      <c r="CG15" s="1002"/>
      <c r="CH15" s="982">
        <v>4.5</v>
      </c>
      <c r="CI15" s="958">
        <v>3</v>
      </c>
      <c r="CJ15" s="958">
        <v>3</v>
      </c>
      <c r="CK15" s="1002">
        <v>0.3</v>
      </c>
      <c r="CL15" s="982">
        <v>59</v>
      </c>
      <c r="CM15" s="958">
        <v>44</v>
      </c>
      <c r="CN15" s="958">
        <v>47</v>
      </c>
      <c r="CO15" s="1002">
        <v>59</v>
      </c>
      <c r="CP15" s="982"/>
      <c r="CQ15" s="958"/>
      <c r="CR15" s="958"/>
      <c r="CS15" s="1002"/>
    </row>
    <row r="16" spans="1:97" ht="16.5">
      <c r="A16" s="957" t="s">
        <v>435</v>
      </c>
      <c r="B16" s="1005"/>
      <c r="C16" s="958"/>
      <c r="D16" s="1006"/>
      <c r="E16" s="1002"/>
      <c r="F16" s="984"/>
      <c r="G16" s="958"/>
      <c r="H16" s="958"/>
      <c r="I16" s="1002"/>
      <c r="J16" s="982">
        <v>68</v>
      </c>
      <c r="K16" s="958">
        <v>4</v>
      </c>
      <c r="L16" s="958">
        <v>2</v>
      </c>
      <c r="M16" s="1002"/>
      <c r="N16" s="982">
        <v>34</v>
      </c>
      <c r="O16" s="958">
        <v>18</v>
      </c>
      <c r="P16" s="958">
        <v>12</v>
      </c>
      <c r="Q16" s="983">
        <v>13</v>
      </c>
      <c r="R16" s="984"/>
      <c r="S16" s="958"/>
      <c r="T16" s="958"/>
      <c r="U16" s="1002"/>
      <c r="V16" s="982">
        <v>4271.8</v>
      </c>
      <c r="W16" s="982">
        <v>222</v>
      </c>
      <c r="X16" s="958">
        <v>203</v>
      </c>
      <c r="Y16" s="1002">
        <v>4281.6</v>
      </c>
      <c r="Z16" s="982"/>
      <c r="AA16" s="958"/>
      <c r="AB16" s="958"/>
      <c r="AC16" s="1002"/>
      <c r="AD16" s="982">
        <v>0.02</v>
      </c>
      <c r="AE16" s="958">
        <v>1</v>
      </c>
      <c r="AF16" s="958">
        <v>1</v>
      </c>
      <c r="AG16" s="1002">
        <v>0.02</v>
      </c>
      <c r="AH16" s="982"/>
      <c r="AI16" s="958"/>
      <c r="AJ16" s="958"/>
      <c r="AK16" s="1002"/>
      <c r="AL16" s="982">
        <v>38</v>
      </c>
      <c r="AM16" s="958">
        <v>22</v>
      </c>
      <c r="AN16" s="958">
        <v>20</v>
      </c>
      <c r="AO16" s="1002">
        <v>3</v>
      </c>
      <c r="AP16" s="982">
        <v>5989.49</v>
      </c>
      <c r="AQ16" s="958">
        <v>3429</v>
      </c>
      <c r="AR16" s="958">
        <v>3518</v>
      </c>
      <c r="AS16" s="1002">
        <v>371.63</v>
      </c>
      <c r="AT16" s="982">
        <v>1635.2</v>
      </c>
      <c r="AU16" s="958">
        <v>510</v>
      </c>
      <c r="AV16" s="958">
        <v>559</v>
      </c>
      <c r="AW16" s="1002">
        <v>1473.9</v>
      </c>
      <c r="AX16" s="982">
        <v>0.57</v>
      </c>
      <c r="AY16" s="958">
        <v>33</v>
      </c>
      <c r="AZ16" s="958">
        <v>31</v>
      </c>
      <c r="BA16" s="1002">
        <v>0.57</v>
      </c>
      <c r="BB16" s="982"/>
      <c r="BC16" s="958"/>
      <c r="BD16" s="958"/>
      <c r="BE16" s="1002"/>
      <c r="BF16" s="982">
        <v>74.65</v>
      </c>
      <c r="BG16" s="982">
        <v>40</v>
      </c>
      <c r="BH16" s="958">
        <f>BG16</f>
        <v>40</v>
      </c>
      <c r="BI16" s="1002">
        <v>11.08</v>
      </c>
      <c r="BJ16" s="982">
        <v>2.61</v>
      </c>
      <c r="BK16" s="958">
        <v>132</v>
      </c>
      <c r="BL16" s="958">
        <v>126</v>
      </c>
      <c r="BM16" s="1002">
        <v>0.29</v>
      </c>
      <c r="BN16" s="982"/>
      <c r="BO16" s="958"/>
      <c r="BP16" s="958"/>
      <c r="BQ16" s="1002"/>
      <c r="BR16" s="982">
        <v>314</v>
      </c>
      <c r="BS16" s="958">
        <v>178</v>
      </c>
      <c r="BT16" s="958">
        <v>156</v>
      </c>
      <c r="BU16" s="1002">
        <v>19</v>
      </c>
      <c r="BV16" s="982"/>
      <c r="BW16" s="958"/>
      <c r="BX16" s="958"/>
      <c r="BY16" s="1002"/>
      <c r="BZ16" s="982"/>
      <c r="CA16" s="958"/>
      <c r="CB16" s="958"/>
      <c r="CC16" s="983"/>
      <c r="CD16" s="984">
        <v>49.97</v>
      </c>
      <c r="CE16" s="958">
        <v>29</v>
      </c>
      <c r="CF16" s="958">
        <v>29</v>
      </c>
      <c r="CG16" s="1002"/>
      <c r="CH16" s="982">
        <v>63.76</v>
      </c>
      <c r="CI16" s="958">
        <v>32</v>
      </c>
      <c r="CJ16" s="958">
        <v>32</v>
      </c>
      <c r="CK16" s="1002">
        <v>2.03</v>
      </c>
      <c r="CL16" s="982">
        <v>673</v>
      </c>
      <c r="CM16" s="958">
        <v>359</v>
      </c>
      <c r="CN16" s="958">
        <v>360</v>
      </c>
      <c r="CO16" s="1002">
        <v>675</v>
      </c>
      <c r="CP16" s="982"/>
      <c r="CQ16" s="958"/>
      <c r="CR16" s="958"/>
      <c r="CS16" s="1002"/>
    </row>
    <row r="17" spans="1:97" ht="16.5">
      <c r="A17" s="957" t="s">
        <v>436</v>
      </c>
      <c r="B17" s="1005"/>
      <c r="C17" s="958"/>
      <c r="D17" s="1006"/>
      <c r="E17" s="1002"/>
      <c r="F17" s="984"/>
      <c r="G17" s="958"/>
      <c r="H17" s="958"/>
      <c r="I17" s="1002"/>
      <c r="J17" s="982">
        <v>71</v>
      </c>
      <c r="K17" s="958">
        <v>3</v>
      </c>
      <c r="L17" s="958">
        <v>1</v>
      </c>
      <c r="M17" s="1002"/>
      <c r="N17" s="982">
        <v>105</v>
      </c>
      <c r="O17" s="958">
        <v>45</v>
      </c>
      <c r="P17" s="958">
        <v>36</v>
      </c>
      <c r="Q17" s="983">
        <v>19</v>
      </c>
      <c r="R17" s="984"/>
      <c r="S17" s="958"/>
      <c r="T17" s="958"/>
      <c r="U17" s="1002"/>
      <c r="V17" s="982">
        <v>3486.2</v>
      </c>
      <c r="W17" s="982">
        <v>165</v>
      </c>
      <c r="X17" s="958">
        <v>142</v>
      </c>
      <c r="Y17" s="1002">
        <v>3846.2</v>
      </c>
      <c r="Z17" s="982"/>
      <c r="AA17" s="958"/>
      <c r="AB17" s="958"/>
      <c r="AC17" s="1002"/>
      <c r="AD17" s="982">
        <v>0.06</v>
      </c>
      <c r="AE17" s="958">
        <v>3</v>
      </c>
      <c r="AF17" s="958">
        <v>3</v>
      </c>
      <c r="AG17" s="1002">
        <v>0.06</v>
      </c>
      <c r="AH17" s="982">
        <v>41.59</v>
      </c>
      <c r="AI17" s="958">
        <v>17</v>
      </c>
      <c r="AJ17" s="958">
        <v>17</v>
      </c>
      <c r="AK17" s="1002">
        <v>2.28</v>
      </c>
      <c r="AL17" s="982">
        <v>20</v>
      </c>
      <c r="AM17" s="958">
        <v>9</v>
      </c>
      <c r="AN17" s="958">
        <v>9</v>
      </c>
      <c r="AO17" s="1002">
        <v>1</v>
      </c>
      <c r="AP17" s="982">
        <v>8008.27</v>
      </c>
      <c r="AQ17" s="958">
        <v>3556</v>
      </c>
      <c r="AR17" s="958">
        <v>3685</v>
      </c>
      <c r="AS17" s="1002">
        <v>491.19</v>
      </c>
      <c r="AT17" s="982">
        <v>4030.9</v>
      </c>
      <c r="AU17" s="958">
        <v>1503</v>
      </c>
      <c r="AV17" s="958">
        <v>1733</v>
      </c>
      <c r="AW17" s="1002">
        <v>3647.7</v>
      </c>
      <c r="AX17" s="982">
        <v>1.43</v>
      </c>
      <c r="AY17" s="958">
        <v>63</v>
      </c>
      <c r="AZ17" s="958">
        <v>59</v>
      </c>
      <c r="BA17" s="1002">
        <v>1.43</v>
      </c>
      <c r="BB17" s="982"/>
      <c r="BC17" s="958"/>
      <c r="BD17" s="958"/>
      <c r="BE17" s="1002"/>
      <c r="BF17" s="982">
        <v>1232</v>
      </c>
      <c r="BG17" s="982">
        <v>523</v>
      </c>
      <c r="BH17" s="958">
        <v>580</v>
      </c>
      <c r="BI17" s="1002">
        <v>85.69</v>
      </c>
      <c r="BJ17" s="982">
        <v>10.14</v>
      </c>
      <c r="BK17" s="958">
        <v>427</v>
      </c>
      <c r="BL17" s="958">
        <v>392</v>
      </c>
      <c r="BM17" s="1002">
        <v>0.7</v>
      </c>
      <c r="BN17" s="982"/>
      <c r="BO17" s="958"/>
      <c r="BP17" s="958"/>
      <c r="BQ17" s="1002"/>
      <c r="BR17" s="982">
        <v>337</v>
      </c>
      <c r="BS17" s="958">
        <v>147</v>
      </c>
      <c r="BT17" s="958">
        <v>128</v>
      </c>
      <c r="BU17" s="1002">
        <v>20</v>
      </c>
      <c r="BV17" s="982"/>
      <c r="BW17" s="958"/>
      <c r="BX17" s="958"/>
      <c r="BY17" s="1002"/>
      <c r="BZ17" s="982"/>
      <c r="CA17" s="958"/>
      <c r="CB17" s="958"/>
      <c r="CC17" s="983"/>
      <c r="CD17" s="984">
        <v>25.46</v>
      </c>
      <c r="CE17" s="958">
        <v>12</v>
      </c>
      <c r="CF17" s="958">
        <v>12</v>
      </c>
      <c r="CG17" s="1002"/>
      <c r="CH17" s="982">
        <v>375.22</v>
      </c>
      <c r="CI17" s="958">
        <v>160</v>
      </c>
      <c r="CJ17" s="958">
        <v>160</v>
      </c>
      <c r="CK17" s="1002">
        <v>12.98</v>
      </c>
      <c r="CL17" s="982">
        <v>887</v>
      </c>
      <c r="CM17" s="958">
        <v>400</v>
      </c>
      <c r="CN17" s="958">
        <v>392</v>
      </c>
      <c r="CO17" s="1002">
        <v>887</v>
      </c>
      <c r="CP17" s="982"/>
      <c r="CQ17" s="958"/>
      <c r="CR17" s="958"/>
      <c r="CS17" s="1002"/>
    </row>
    <row r="18" spans="1:97" ht="16.5">
      <c r="A18" s="957" t="s">
        <v>437</v>
      </c>
      <c r="B18" s="1005"/>
      <c r="C18" s="958"/>
      <c r="D18" s="1006"/>
      <c r="E18" s="1002"/>
      <c r="F18" s="984"/>
      <c r="G18" s="958"/>
      <c r="H18" s="958"/>
      <c r="I18" s="1002"/>
      <c r="J18" s="982">
        <v>26</v>
      </c>
      <c r="K18" s="958">
        <v>1</v>
      </c>
      <c r="L18" s="958"/>
      <c r="M18" s="1002"/>
      <c r="N18" s="982">
        <v>165</v>
      </c>
      <c r="O18" s="958">
        <v>56</v>
      </c>
      <c r="P18" s="958">
        <v>41</v>
      </c>
      <c r="Q18" s="983">
        <v>75</v>
      </c>
      <c r="R18" s="984"/>
      <c r="S18" s="958"/>
      <c r="T18" s="958"/>
      <c r="U18" s="1002"/>
      <c r="V18" s="982">
        <v>2324.8</v>
      </c>
      <c r="W18" s="982">
        <v>78</v>
      </c>
      <c r="X18" s="958">
        <v>67</v>
      </c>
      <c r="Y18" s="1002">
        <v>2280.6</v>
      </c>
      <c r="Z18" s="982"/>
      <c r="AA18" s="958"/>
      <c r="AB18" s="958"/>
      <c r="AC18" s="1002"/>
      <c r="AD18" s="982">
        <v>0.1</v>
      </c>
      <c r="AE18" s="958">
        <v>3</v>
      </c>
      <c r="AF18" s="958">
        <v>2</v>
      </c>
      <c r="AG18" s="1002">
        <v>0.09</v>
      </c>
      <c r="AH18" s="982">
        <v>380.72</v>
      </c>
      <c r="AI18" s="958">
        <v>140</v>
      </c>
      <c r="AJ18" s="958">
        <v>140</v>
      </c>
      <c r="AK18" s="1002">
        <v>22.38</v>
      </c>
      <c r="AL18" s="982">
        <v>11</v>
      </c>
      <c r="AM18" s="958">
        <v>4</v>
      </c>
      <c r="AN18" s="958">
        <v>3</v>
      </c>
      <c r="AO18" s="1002">
        <v>1</v>
      </c>
      <c r="AP18" s="982">
        <v>7267.05</v>
      </c>
      <c r="AQ18" s="958">
        <v>2663</v>
      </c>
      <c r="AR18" s="958">
        <v>2778</v>
      </c>
      <c r="AS18" s="1002">
        <v>450.64</v>
      </c>
      <c r="AT18" s="982">
        <v>5000.5</v>
      </c>
      <c r="AU18" s="958">
        <v>1615</v>
      </c>
      <c r="AV18" s="958">
        <v>1893</v>
      </c>
      <c r="AW18" s="1002">
        <v>4608.8</v>
      </c>
      <c r="AX18" s="982">
        <v>2.25</v>
      </c>
      <c r="AY18" s="958">
        <v>85</v>
      </c>
      <c r="AZ18" s="958">
        <v>72</v>
      </c>
      <c r="BA18" s="1002">
        <v>2.25</v>
      </c>
      <c r="BB18" s="982">
        <v>513.86</v>
      </c>
      <c r="BC18" s="958">
        <v>63</v>
      </c>
      <c r="BD18" s="958">
        <v>63</v>
      </c>
      <c r="BE18" s="1002">
        <v>513.86</v>
      </c>
      <c r="BF18" s="982">
        <v>1402.26</v>
      </c>
      <c r="BG18" s="982">
        <v>488</v>
      </c>
      <c r="BH18" s="958">
        <v>550</v>
      </c>
      <c r="BI18" s="1002">
        <v>84.66</v>
      </c>
      <c r="BJ18" s="982">
        <v>12.94</v>
      </c>
      <c r="BK18" s="958">
        <v>456</v>
      </c>
      <c r="BL18" s="958">
        <v>423</v>
      </c>
      <c r="BM18" s="1002">
        <v>0.83</v>
      </c>
      <c r="BN18" s="982"/>
      <c r="BO18" s="958"/>
      <c r="BP18" s="958"/>
      <c r="BQ18" s="1002"/>
      <c r="BR18" s="982">
        <v>3134</v>
      </c>
      <c r="BS18" s="958">
        <v>358</v>
      </c>
      <c r="BT18" s="958">
        <v>302</v>
      </c>
      <c r="BU18" s="1002">
        <v>183</v>
      </c>
      <c r="BV18" s="982"/>
      <c r="BW18" s="958"/>
      <c r="BX18" s="958"/>
      <c r="BY18" s="1002"/>
      <c r="BZ18" s="982"/>
      <c r="CA18" s="958"/>
      <c r="CB18" s="958"/>
      <c r="CC18" s="983"/>
      <c r="CD18" s="984">
        <v>222.34</v>
      </c>
      <c r="CE18" s="958">
        <v>75</v>
      </c>
      <c r="CF18" s="958">
        <v>72</v>
      </c>
      <c r="CG18" s="1002"/>
      <c r="CH18" s="982">
        <v>178.82</v>
      </c>
      <c r="CI18" s="958">
        <v>62</v>
      </c>
      <c r="CJ18" s="958">
        <v>62</v>
      </c>
      <c r="CK18" s="1002">
        <v>4.61</v>
      </c>
      <c r="CL18" s="982">
        <v>700</v>
      </c>
      <c r="CM18" s="958">
        <v>250</v>
      </c>
      <c r="CN18" s="958">
        <v>248</v>
      </c>
      <c r="CO18" s="1002">
        <v>700</v>
      </c>
      <c r="CP18" s="982"/>
      <c r="CQ18" s="958"/>
      <c r="CR18" s="958"/>
      <c r="CS18" s="1002"/>
    </row>
    <row r="19" spans="1:97" ht="16.5">
      <c r="A19" s="957" t="s">
        <v>438</v>
      </c>
      <c r="B19" s="1005"/>
      <c r="C19" s="958"/>
      <c r="D19" s="1006"/>
      <c r="E19" s="1002"/>
      <c r="F19" s="984"/>
      <c r="G19" s="958"/>
      <c r="H19" s="958"/>
      <c r="I19" s="1002"/>
      <c r="J19" s="982">
        <v>98</v>
      </c>
      <c r="K19" s="958">
        <v>2</v>
      </c>
      <c r="L19" s="958">
        <v>1</v>
      </c>
      <c r="M19" s="1002"/>
      <c r="N19" s="982">
        <v>3314</v>
      </c>
      <c r="O19" s="958">
        <v>335</v>
      </c>
      <c r="P19" s="958">
        <v>232</v>
      </c>
      <c r="Q19" s="983">
        <v>1128</v>
      </c>
      <c r="R19" s="984"/>
      <c r="S19" s="958"/>
      <c r="T19" s="958"/>
      <c r="U19" s="1002"/>
      <c r="V19" s="982">
        <v>13936.9</v>
      </c>
      <c r="W19" s="982">
        <v>224</v>
      </c>
      <c r="X19" s="958">
        <v>196</v>
      </c>
      <c r="Y19" s="1002">
        <v>13917.3</v>
      </c>
      <c r="Z19" s="982"/>
      <c r="AA19" s="958"/>
      <c r="AB19" s="958"/>
      <c r="AC19" s="1002"/>
      <c r="AD19" s="982">
        <v>1.9</v>
      </c>
      <c r="AE19" s="958">
        <v>22</v>
      </c>
      <c r="AF19" s="958">
        <v>19</v>
      </c>
      <c r="AG19" s="1002">
        <v>1.87</v>
      </c>
      <c r="AH19" s="982">
        <v>5650.75</v>
      </c>
      <c r="AI19" s="958">
        <v>698</v>
      </c>
      <c r="AJ19" s="958">
        <v>690</v>
      </c>
      <c r="AK19" s="1002">
        <v>339.62</v>
      </c>
      <c r="AL19" s="982">
        <v>98</v>
      </c>
      <c r="AM19" s="958">
        <v>17</v>
      </c>
      <c r="AN19" s="958">
        <v>17</v>
      </c>
      <c r="AO19" s="1002">
        <v>6</v>
      </c>
      <c r="AP19" s="982">
        <v>293749.45</v>
      </c>
      <c r="AQ19" s="958">
        <v>21330</v>
      </c>
      <c r="AR19" s="958">
        <v>24224</v>
      </c>
      <c r="AS19" s="1002">
        <v>18830.09</v>
      </c>
      <c r="AT19" s="982">
        <v>209289.7</v>
      </c>
      <c r="AU19" s="958">
        <v>14701</v>
      </c>
      <c r="AV19" s="958">
        <v>18122</v>
      </c>
      <c r="AW19" s="1002">
        <v>203790.4</v>
      </c>
      <c r="AX19" s="982">
        <v>47.71</v>
      </c>
      <c r="AY19" s="958">
        <v>463</v>
      </c>
      <c r="AZ19" s="958">
        <v>414</v>
      </c>
      <c r="BA19" s="1002">
        <v>47.76</v>
      </c>
      <c r="BB19" s="982"/>
      <c r="BC19" s="958"/>
      <c r="BD19" s="958"/>
      <c r="BE19" s="1002"/>
      <c r="BF19" s="982">
        <v>25021.24</v>
      </c>
      <c r="BG19" s="982">
        <v>1974</v>
      </c>
      <c r="BH19" s="958">
        <v>2261</v>
      </c>
      <c r="BI19" s="1002">
        <v>1607.77</v>
      </c>
      <c r="BJ19" s="982">
        <v>423.11</v>
      </c>
      <c r="BK19" s="958">
        <v>3547</v>
      </c>
      <c r="BL19" s="958">
        <v>3212</v>
      </c>
      <c r="BM19" s="1002">
        <v>32.94</v>
      </c>
      <c r="BN19" s="982"/>
      <c r="BO19" s="958"/>
      <c r="BP19" s="958"/>
      <c r="BQ19" s="1002"/>
      <c r="BR19" s="982">
        <v>0</v>
      </c>
      <c r="BS19" s="958"/>
      <c r="BT19" s="958"/>
      <c r="BU19" s="1002"/>
      <c r="BV19" s="982"/>
      <c r="BW19" s="958"/>
      <c r="BX19" s="958"/>
      <c r="BY19" s="1002"/>
      <c r="BZ19" s="982"/>
      <c r="CA19" s="958"/>
      <c r="CB19" s="958"/>
      <c r="CC19" s="983"/>
      <c r="CD19" s="984">
        <v>2646.4</v>
      </c>
      <c r="CE19" s="958">
        <v>267</v>
      </c>
      <c r="CF19" s="958">
        <v>236</v>
      </c>
      <c r="CG19" s="1002"/>
      <c r="CH19" s="982">
        <v>14235.25</v>
      </c>
      <c r="CI19" s="958">
        <v>1393</v>
      </c>
      <c r="CJ19" s="958">
        <v>1393</v>
      </c>
      <c r="CK19" s="1002">
        <v>319.08</v>
      </c>
      <c r="CL19" s="982">
        <v>28577</v>
      </c>
      <c r="CM19" s="958">
        <v>1771</v>
      </c>
      <c r="CN19" s="958">
        <v>1749</v>
      </c>
      <c r="CO19" s="1002">
        <v>28892</v>
      </c>
      <c r="CP19" s="982"/>
      <c r="CQ19" s="958"/>
      <c r="CR19" s="958"/>
      <c r="CS19" s="1002"/>
    </row>
    <row r="20" spans="1:97" ht="16.5">
      <c r="A20" s="956" t="s">
        <v>439</v>
      </c>
      <c r="B20" s="984"/>
      <c r="C20" s="958"/>
      <c r="D20" s="958"/>
      <c r="E20" s="1002"/>
      <c r="F20" s="984"/>
      <c r="G20" s="958"/>
      <c r="H20" s="958"/>
      <c r="I20" s="1002"/>
      <c r="J20" s="982"/>
      <c r="K20" s="958"/>
      <c r="L20" s="958"/>
      <c r="M20" s="1002"/>
      <c r="N20" s="982"/>
      <c r="O20" s="958"/>
      <c r="P20" s="958"/>
      <c r="Q20" s="983"/>
      <c r="R20" s="984"/>
      <c r="S20" s="958"/>
      <c r="T20" s="958"/>
      <c r="U20" s="1002"/>
      <c r="V20" s="982"/>
      <c r="W20" s="958"/>
      <c r="X20" s="958"/>
      <c r="Y20" s="1002"/>
      <c r="Z20" s="982"/>
      <c r="AA20" s="958"/>
      <c r="AB20" s="958"/>
      <c r="AC20" s="1002"/>
      <c r="AD20" s="982"/>
      <c r="AE20" s="958"/>
      <c r="AF20" s="958"/>
      <c r="AG20" s="1002"/>
      <c r="AH20" s="982"/>
      <c r="AI20" s="958"/>
      <c r="AJ20" s="958"/>
      <c r="AK20" s="1002"/>
      <c r="AL20" s="982"/>
      <c r="AM20" s="958"/>
      <c r="AN20" s="958"/>
      <c r="AO20" s="1002"/>
      <c r="AP20" s="982"/>
      <c r="AQ20" s="958"/>
      <c r="AR20" s="958"/>
      <c r="AS20" s="1002"/>
      <c r="AT20" s="982"/>
      <c r="AU20" s="958"/>
      <c r="AV20" s="958"/>
      <c r="AW20" s="1002"/>
      <c r="AX20" s="982"/>
      <c r="AY20" s="958"/>
      <c r="AZ20" s="958"/>
      <c r="BA20" s="1002"/>
      <c r="BB20" s="982"/>
      <c r="BC20" s="958"/>
      <c r="BD20" s="958"/>
      <c r="BE20" s="1002"/>
      <c r="BF20" s="982"/>
      <c r="BG20" s="958"/>
      <c r="BH20" s="958"/>
      <c r="BI20" s="1002"/>
      <c r="BJ20" s="982"/>
      <c r="BK20" s="958"/>
      <c r="BL20" s="958"/>
      <c r="BM20" s="1002"/>
      <c r="BN20" s="982"/>
      <c r="BO20" s="958"/>
      <c r="BP20" s="958"/>
      <c r="BQ20" s="1002"/>
      <c r="BR20" s="982"/>
      <c r="BS20" s="958"/>
      <c r="BT20" s="958"/>
      <c r="BU20" s="1002"/>
      <c r="BV20" s="982"/>
      <c r="BW20" s="958"/>
      <c r="BX20" s="958"/>
      <c r="BY20" s="1002"/>
      <c r="BZ20" s="982"/>
      <c r="CA20" s="958"/>
      <c r="CB20" s="958"/>
      <c r="CC20" s="983"/>
      <c r="CD20" s="984"/>
      <c r="CE20" s="958"/>
      <c r="CF20" s="958"/>
      <c r="CG20" s="1002"/>
      <c r="CH20" s="982"/>
      <c r="CI20" s="958"/>
      <c r="CJ20" s="958"/>
      <c r="CK20" s="1002"/>
      <c r="CL20" s="982"/>
      <c r="CM20" s="958"/>
      <c r="CN20" s="958"/>
      <c r="CO20" s="1002"/>
      <c r="CP20" s="982"/>
      <c r="CQ20" s="958"/>
      <c r="CR20" s="958"/>
      <c r="CS20" s="1002"/>
    </row>
    <row r="21" spans="1:97" ht="16.5">
      <c r="A21" s="957" t="s">
        <v>424</v>
      </c>
      <c r="B21" s="974">
        <v>-1003</v>
      </c>
      <c r="C21" s="958">
        <v>56</v>
      </c>
      <c r="D21" s="958">
        <v>1651</v>
      </c>
      <c r="E21" s="1007">
        <v>939</v>
      </c>
      <c r="F21" s="984"/>
      <c r="G21" s="958"/>
      <c r="H21" s="958"/>
      <c r="I21" s="1002"/>
      <c r="J21" s="982">
        <v>14</v>
      </c>
      <c r="K21" s="958"/>
      <c r="L21" s="958">
        <v>2105</v>
      </c>
      <c r="M21" s="1002">
        <v>-2113</v>
      </c>
      <c r="N21" s="982">
        <v>192626</v>
      </c>
      <c r="O21" s="958">
        <v>222</v>
      </c>
      <c r="P21" s="958">
        <v>23037474</v>
      </c>
      <c r="Q21" s="983">
        <v>20235552</v>
      </c>
      <c r="R21" s="984">
        <v>97.82</v>
      </c>
      <c r="S21" s="958">
        <v>18</v>
      </c>
      <c r="T21" s="958">
        <v>105504</v>
      </c>
      <c r="U21" s="1002">
        <v>5739.8</v>
      </c>
      <c r="V21" s="982">
        <v>20113.7</v>
      </c>
      <c r="W21" s="958"/>
      <c r="X21" s="958">
        <v>4871344</v>
      </c>
      <c r="Y21" s="1002">
        <v>14075405.2</v>
      </c>
      <c r="Z21" s="982">
        <v>-400.79</v>
      </c>
      <c r="AA21" s="958">
        <v>27</v>
      </c>
      <c r="AB21" s="958">
        <v>-99350</v>
      </c>
      <c r="AC21" s="1002">
        <v>-82279.52</v>
      </c>
      <c r="AD21" s="982">
        <v>8.1</v>
      </c>
      <c r="AE21" s="958"/>
      <c r="AF21" s="958">
        <v>211470</v>
      </c>
      <c r="AG21" s="1002">
        <v>870.5</v>
      </c>
      <c r="AH21" s="982"/>
      <c r="AI21" s="958"/>
      <c r="AJ21" s="958"/>
      <c r="AK21" s="1002"/>
      <c r="AL21" s="982"/>
      <c r="AM21" s="958"/>
      <c r="AN21" s="958">
        <v>12</v>
      </c>
      <c r="AO21" s="1002">
        <v>17</v>
      </c>
      <c r="AP21" s="982">
        <v>-6830.47</v>
      </c>
      <c r="AQ21" s="958">
        <v>20</v>
      </c>
      <c r="AR21" s="958">
        <v>10420</v>
      </c>
      <c r="AS21" s="1002">
        <v>198163</v>
      </c>
      <c r="AT21" s="982">
        <v>8.5</v>
      </c>
      <c r="AU21" s="958">
        <v>478</v>
      </c>
      <c r="AV21" s="958">
        <v>2120</v>
      </c>
      <c r="AW21" s="1002">
        <v>5292.4</v>
      </c>
      <c r="AX21" s="982"/>
      <c r="AY21" s="958"/>
      <c r="AZ21" s="958"/>
      <c r="BA21" s="1002"/>
      <c r="BB21" s="982">
        <v>-260.44</v>
      </c>
      <c r="BC21" s="958">
        <v>7</v>
      </c>
      <c r="BD21" s="958">
        <v>-115620</v>
      </c>
      <c r="BE21" s="1002">
        <v>-568341.66</v>
      </c>
      <c r="BF21" s="982">
        <v>-1628.54</v>
      </c>
      <c r="BG21" s="958">
        <v>129</v>
      </c>
      <c r="BH21" s="958">
        <v>-770916</v>
      </c>
      <c r="BI21" s="1002">
        <v>-370997.26</v>
      </c>
      <c r="BJ21" s="982"/>
      <c r="BK21" s="958"/>
      <c r="BL21" s="958"/>
      <c r="BM21" s="1002"/>
      <c r="BN21" s="982"/>
      <c r="BO21" s="958"/>
      <c r="BP21" s="958"/>
      <c r="BQ21" s="1002"/>
      <c r="BR21" s="982">
        <v>-199</v>
      </c>
      <c r="BS21" s="958"/>
      <c r="BT21" s="958">
        <v>-118630</v>
      </c>
      <c r="BU21" s="1002">
        <v>-201576</v>
      </c>
      <c r="BV21" s="982"/>
      <c r="BW21" s="958"/>
      <c r="BX21" s="958"/>
      <c r="BY21" s="1002"/>
      <c r="BZ21" s="982">
        <v>4</v>
      </c>
      <c r="CA21" s="958">
        <v>8</v>
      </c>
      <c r="CB21" s="958">
        <v>70202</v>
      </c>
      <c r="CC21" s="983">
        <v>1608</v>
      </c>
      <c r="CD21" s="984">
        <v>0.25</v>
      </c>
      <c r="CE21" s="958"/>
      <c r="CF21" s="958">
        <v>1387</v>
      </c>
      <c r="CG21" s="1002">
        <v>27.75</v>
      </c>
      <c r="CH21" s="982">
        <v>729.56</v>
      </c>
      <c r="CI21" s="958"/>
      <c r="CJ21" s="958">
        <v>22197</v>
      </c>
      <c r="CK21" s="1002">
        <v>102327.12</v>
      </c>
      <c r="CL21" s="982">
        <v>597</v>
      </c>
      <c r="CM21" s="958"/>
      <c r="CN21" s="958">
        <v>22291</v>
      </c>
      <c r="CO21" s="1002">
        <v>116014</v>
      </c>
      <c r="CP21" s="982"/>
      <c r="CQ21" s="958"/>
      <c r="CR21" s="958"/>
      <c r="CS21" s="1002"/>
    </row>
    <row r="22" spans="1:97" ht="16.5">
      <c r="A22" s="957" t="s">
        <v>425</v>
      </c>
      <c r="B22" s="975">
        <v>2</v>
      </c>
      <c r="C22" s="958">
        <v>9</v>
      </c>
      <c r="D22" s="958">
        <v>3462</v>
      </c>
      <c r="E22" s="1007">
        <v>388</v>
      </c>
      <c r="F22" s="984"/>
      <c r="G22" s="958"/>
      <c r="H22" s="958"/>
      <c r="I22" s="1002"/>
      <c r="J22" s="982">
        <v>0</v>
      </c>
      <c r="K22" s="958"/>
      <c r="L22" s="958">
        <v>1</v>
      </c>
      <c r="M22" s="1002">
        <v>-23</v>
      </c>
      <c r="N22" s="982">
        <v>69931</v>
      </c>
      <c r="O22" s="958">
        <v>6</v>
      </c>
      <c r="P22" s="958">
        <v>21895</v>
      </c>
      <c r="Q22" s="983">
        <v>94127</v>
      </c>
      <c r="R22" s="984">
        <v>27.43</v>
      </c>
      <c r="S22" s="958"/>
      <c r="T22" s="958">
        <v>2087</v>
      </c>
      <c r="U22" s="1002">
        <v>1230.36</v>
      </c>
      <c r="V22" s="982">
        <v>1540.9</v>
      </c>
      <c r="W22" s="958"/>
      <c r="X22" s="958">
        <v>5308</v>
      </c>
      <c r="Y22" s="1002">
        <v>103286.7</v>
      </c>
      <c r="Z22" s="982">
        <v>25.53</v>
      </c>
      <c r="AA22" s="958">
        <v>4</v>
      </c>
      <c r="AB22" s="958">
        <v>12115</v>
      </c>
      <c r="AC22" s="1002">
        <v>5264.29</v>
      </c>
      <c r="AD22" s="982">
        <v>2.4</v>
      </c>
      <c r="AE22" s="958"/>
      <c r="AF22" s="958">
        <v>1485</v>
      </c>
      <c r="AG22" s="1002">
        <v>142.38</v>
      </c>
      <c r="AH22" s="982"/>
      <c r="AI22" s="958"/>
      <c r="AJ22" s="958"/>
      <c r="AK22" s="1002"/>
      <c r="AL22" s="982"/>
      <c r="AM22" s="958"/>
      <c r="AN22" s="958"/>
      <c r="AO22" s="1002"/>
      <c r="AP22" s="982">
        <v>53.92</v>
      </c>
      <c r="AQ22" s="958">
        <v>6</v>
      </c>
      <c r="AR22" s="958">
        <v>13920</v>
      </c>
      <c r="AS22" s="1002">
        <v>15739</v>
      </c>
      <c r="AT22" s="982">
        <v>43.7</v>
      </c>
      <c r="AU22" s="958">
        <v>270</v>
      </c>
      <c r="AV22" s="958">
        <v>6444</v>
      </c>
      <c r="AW22" s="1002">
        <v>32249.4</v>
      </c>
      <c r="AX22" s="982"/>
      <c r="AY22" s="958"/>
      <c r="AZ22" s="958"/>
      <c r="BA22" s="1002"/>
      <c r="BB22" s="982">
        <v>17.96</v>
      </c>
      <c r="BC22" s="958">
        <v>6</v>
      </c>
      <c r="BD22" s="958">
        <v>6811</v>
      </c>
      <c r="BE22" s="1002">
        <v>36162.36</v>
      </c>
      <c r="BF22" s="982">
        <v>94.67</v>
      </c>
      <c r="BG22" s="958">
        <v>23</v>
      </c>
      <c r="BH22" s="958">
        <v>37394</v>
      </c>
      <c r="BI22" s="1002">
        <v>9861.82</v>
      </c>
      <c r="BJ22" s="982"/>
      <c r="BK22" s="958"/>
      <c r="BL22" s="958"/>
      <c r="BM22" s="1002"/>
      <c r="BN22" s="982"/>
      <c r="BO22" s="958"/>
      <c r="BP22" s="958"/>
      <c r="BQ22" s="1002"/>
      <c r="BR22" s="982">
        <v>3</v>
      </c>
      <c r="BS22" s="958">
        <v>5</v>
      </c>
      <c r="BT22" s="958">
        <v>466</v>
      </c>
      <c r="BU22" s="1002">
        <v>3088</v>
      </c>
      <c r="BV22" s="982"/>
      <c r="BW22" s="958"/>
      <c r="BX22" s="958"/>
      <c r="BY22" s="1002"/>
      <c r="BZ22" s="982">
        <v>104</v>
      </c>
      <c r="CA22" s="958"/>
      <c r="CB22" s="958">
        <v>35405</v>
      </c>
      <c r="CC22" s="983">
        <v>4311</v>
      </c>
      <c r="CD22" s="984">
        <v>1.45</v>
      </c>
      <c r="CE22" s="958"/>
      <c r="CF22" s="958">
        <v>51</v>
      </c>
      <c r="CG22" s="1002">
        <v>136.97</v>
      </c>
      <c r="CH22" s="982">
        <v>1122.03</v>
      </c>
      <c r="CI22" s="958"/>
      <c r="CJ22" s="958">
        <v>6950</v>
      </c>
      <c r="CK22" s="1002">
        <v>97855.51</v>
      </c>
      <c r="CL22" s="982">
        <v>466</v>
      </c>
      <c r="CM22" s="958"/>
      <c r="CN22" s="958">
        <v>3157</v>
      </c>
      <c r="CO22" s="1002">
        <v>40521</v>
      </c>
      <c r="CP22" s="982"/>
      <c r="CQ22" s="958"/>
      <c r="CR22" s="958"/>
      <c r="CS22" s="1002"/>
    </row>
    <row r="23" spans="1:97" ht="16.5">
      <c r="A23" s="957" t="s">
        <v>426</v>
      </c>
      <c r="B23" s="975">
        <v>4</v>
      </c>
      <c r="C23" s="958">
        <v>10</v>
      </c>
      <c r="D23" s="958">
        <v>115</v>
      </c>
      <c r="E23" s="1007">
        <v>410</v>
      </c>
      <c r="F23" s="984"/>
      <c r="G23" s="958"/>
      <c r="H23" s="958"/>
      <c r="I23" s="1002"/>
      <c r="J23" s="982">
        <v>1</v>
      </c>
      <c r="K23" s="958"/>
      <c r="L23" s="958">
        <v>104</v>
      </c>
      <c r="M23" s="1002">
        <v>86</v>
      </c>
      <c r="N23" s="982">
        <v>63281</v>
      </c>
      <c r="O23" s="958">
        <v>6</v>
      </c>
      <c r="P23" s="958">
        <v>83314</v>
      </c>
      <c r="Q23" s="983">
        <v>1255133</v>
      </c>
      <c r="R23" s="984">
        <v>5.75</v>
      </c>
      <c r="S23" s="958"/>
      <c r="T23" s="958">
        <v>265</v>
      </c>
      <c r="U23" s="1002">
        <v>230.26</v>
      </c>
      <c r="V23" s="982">
        <v>3926.2</v>
      </c>
      <c r="W23" s="958"/>
      <c r="X23" s="958">
        <v>10667</v>
      </c>
      <c r="Y23" s="1002">
        <v>88673.9</v>
      </c>
      <c r="Z23" s="982">
        <v>88.91</v>
      </c>
      <c r="AA23" s="958">
        <v>7</v>
      </c>
      <c r="AB23" s="958">
        <v>43681</v>
      </c>
      <c r="AC23" s="1002">
        <v>65094.68</v>
      </c>
      <c r="AD23" s="982">
        <v>2.7</v>
      </c>
      <c r="AE23" s="958"/>
      <c r="AF23" s="958">
        <v>778</v>
      </c>
      <c r="AG23" s="1002">
        <v>103.59</v>
      </c>
      <c r="AH23" s="982"/>
      <c r="AI23" s="958"/>
      <c r="AJ23" s="958"/>
      <c r="AK23" s="1002"/>
      <c r="AL23" s="982">
        <v>1</v>
      </c>
      <c r="AM23" s="958"/>
      <c r="AN23" s="958">
        <v>14</v>
      </c>
      <c r="AO23" s="1002">
        <v>169</v>
      </c>
      <c r="AP23" s="982">
        <v>112.38</v>
      </c>
      <c r="AQ23" s="958"/>
      <c r="AR23" s="958">
        <v>5883</v>
      </c>
      <c r="AS23" s="1002">
        <v>24816</v>
      </c>
      <c r="AT23" s="982">
        <v>143.5</v>
      </c>
      <c r="AU23" s="958">
        <v>408</v>
      </c>
      <c r="AV23" s="958">
        <v>19911</v>
      </c>
      <c r="AW23" s="1002">
        <v>147572.3</v>
      </c>
      <c r="AX23" s="982"/>
      <c r="AY23" s="958"/>
      <c r="AZ23" s="958"/>
      <c r="BA23" s="1002"/>
      <c r="BB23" s="982">
        <v>38.56</v>
      </c>
      <c r="BC23" s="958">
        <v>8</v>
      </c>
      <c r="BD23" s="958">
        <v>38502</v>
      </c>
      <c r="BE23" s="1002">
        <v>102905.19</v>
      </c>
      <c r="BF23" s="982">
        <v>160.85</v>
      </c>
      <c r="BG23" s="958">
        <v>13</v>
      </c>
      <c r="BH23" s="958">
        <v>50674</v>
      </c>
      <c r="BI23" s="1002">
        <v>14414.94</v>
      </c>
      <c r="BJ23" s="982"/>
      <c r="BK23" s="958"/>
      <c r="BL23" s="958"/>
      <c r="BM23" s="1002"/>
      <c r="BN23" s="982"/>
      <c r="BO23" s="958"/>
      <c r="BP23" s="958"/>
      <c r="BQ23" s="1002"/>
      <c r="BR23" s="982">
        <v>5</v>
      </c>
      <c r="BS23" s="958">
        <v>8</v>
      </c>
      <c r="BT23" s="958">
        <v>571</v>
      </c>
      <c r="BU23" s="1002">
        <v>4500</v>
      </c>
      <c r="BV23" s="982"/>
      <c r="BW23" s="958"/>
      <c r="BX23" s="958"/>
      <c r="BY23" s="1002"/>
      <c r="BZ23" s="982">
        <v>213</v>
      </c>
      <c r="CA23" s="958">
        <v>2</v>
      </c>
      <c r="CB23" s="958">
        <v>53966</v>
      </c>
      <c r="CC23" s="983">
        <v>10784</v>
      </c>
      <c r="CD23" s="984">
        <v>5.79</v>
      </c>
      <c r="CE23" s="958"/>
      <c r="CF23" s="958">
        <v>2316</v>
      </c>
      <c r="CG23" s="1002">
        <v>1376.73</v>
      </c>
      <c r="CH23" s="982">
        <v>1957.9</v>
      </c>
      <c r="CI23" s="958"/>
      <c r="CJ23" s="958">
        <v>5754</v>
      </c>
      <c r="CK23" s="1002">
        <v>117969.09</v>
      </c>
      <c r="CL23" s="982">
        <v>411</v>
      </c>
      <c r="CM23" s="958"/>
      <c r="CN23" s="958">
        <v>1316</v>
      </c>
      <c r="CO23" s="1002">
        <v>20627</v>
      </c>
      <c r="CP23" s="982"/>
      <c r="CQ23" s="958"/>
      <c r="CR23" s="958"/>
      <c r="CS23" s="1002"/>
    </row>
    <row r="24" spans="1:97" ht="16.5">
      <c r="A24" s="957" t="s">
        <v>427</v>
      </c>
      <c r="B24" s="974">
        <v>6</v>
      </c>
      <c r="C24" s="958">
        <v>10</v>
      </c>
      <c r="D24" s="958">
        <v>728</v>
      </c>
      <c r="E24" s="1007">
        <v>475</v>
      </c>
      <c r="F24" s="984"/>
      <c r="G24" s="958"/>
      <c r="H24" s="958"/>
      <c r="I24" s="1002"/>
      <c r="J24" s="982">
        <v>1</v>
      </c>
      <c r="K24" s="958"/>
      <c r="L24" s="958">
        <v>2</v>
      </c>
      <c r="M24" s="1002">
        <v>29</v>
      </c>
      <c r="N24" s="982">
        <v>8524</v>
      </c>
      <c r="O24" s="958">
        <v>3</v>
      </c>
      <c r="P24" s="958">
        <v>16183</v>
      </c>
      <c r="Q24" s="983">
        <v>326425</v>
      </c>
      <c r="R24" s="984">
        <v>0.84</v>
      </c>
      <c r="S24" s="958"/>
      <c r="T24" s="958">
        <v>14</v>
      </c>
      <c r="U24" s="1002">
        <v>28.41</v>
      </c>
      <c r="V24" s="982">
        <v>904</v>
      </c>
      <c r="W24" s="958">
        <v>101</v>
      </c>
      <c r="X24" s="958">
        <v>1473</v>
      </c>
      <c r="Y24" s="1002">
        <v>46412.6</v>
      </c>
      <c r="Z24" s="982">
        <v>73.94</v>
      </c>
      <c r="AA24" s="958">
        <v>2</v>
      </c>
      <c r="AB24" s="958">
        <v>46332</v>
      </c>
      <c r="AC24" s="1002">
        <v>19803.87</v>
      </c>
      <c r="AD24" s="982">
        <v>1.4</v>
      </c>
      <c r="AE24" s="958"/>
      <c r="AF24" s="958">
        <v>233</v>
      </c>
      <c r="AG24" s="1002">
        <v>40.86</v>
      </c>
      <c r="AH24" s="982"/>
      <c r="AI24" s="958"/>
      <c r="AJ24" s="958"/>
      <c r="AK24" s="1002"/>
      <c r="AL24" s="982">
        <v>2</v>
      </c>
      <c r="AM24" s="958"/>
      <c r="AN24" s="958">
        <v>27</v>
      </c>
      <c r="AO24" s="1002">
        <v>90</v>
      </c>
      <c r="AP24" s="982">
        <v>102.47</v>
      </c>
      <c r="AQ24" s="958">
        <v>4</v>
      </c>
      <c r="AR24" s="958">
        <v>12228</v>
      </c>
      <c r="AS24" s="1002">
        <v>22116</v>
      </c>
      <c r="AT24" s="982">
        <v>184.4</v>
      </c>
      <c r="AU24" s="958">
        <v>311</v>
      </c>
      <c r="AV24" s="958">
        <v>19646</v>
      </c>
      <c r="AW24" s="1002">
        <v>195910</v>
      </c>
      <c r="AX24" s="982"/>
      <c r="AY24" s="958"/>
      <c r="AZ24" s="958"/>
      <c r="BA24" s="1002"/>
      <c r="BB24" s="982">
        <v>25.39</v>
      </c>
      <c r="BC24" s="958">
        <v>2</v>
      </c>
      <c r="BD24" s="958">
        <v>7001</v>
      </c>
      <c r="BE24" s="1002">
        <v>22770.42</v>
      </c>
      <c r="BF24" s="982">
        <v>163.78</v>
      </c>
      <c r="BG24" s="958">
        <v>17</v>
      </c>
      <c r="BH24" s="958">
        <v>55178</v>
      </c>
      <c r="BI24" s="1002">
        <v>21196.07</v>
      </c>
      <c r="BJ24" s="982"/>
      <c r="BK24" s="958"/>
      <c r="BL24" s="958"/>
      <c r="BM24" s="1002"/>
      <c r="BN24" s="982"/>
      <c r="BO24" s="958"/>
      <c r="BP24" s="958"/>
      <c r="BQ24" s="1002"/>
      <c r="BR24" s="982">
        <v>2</v>
      </c>
      <c r="BS24" s="958">
        <v>3</v>
      </c>
      <c r="BT24" s="958">
        <v>456</v>
      </c>
      <c r="BU24" s="1002">
        <v>1525</v>
      </c>
      <c r="BV24" s="982"/>
      <c r="BW24" s="958"/>
      <c r="BX24" s="958"/>
      <c r="BY24" s="1002"/>
      <c r="BZ24" s="982">
        <v>204</v>
      </c>
      <c r="CA24" s="958">
        <v>1</v>
      </c>
      <c r="CB24" s="958">
        <v>37616</v>
      </c>
      <c r="CC24" s="983">
        <v>9434</v>
      </c>
      <c r="CD24" s="984">
        <v>1.789</v>
      </c>
      <c r="CE24" s="958"/>
      <c r="CF24" s="958">
        <v>34</v>
      </c>
      <c r="CG24" s="1002">
        <v>159.19</v>
      </c>
      <c r="CH24" s="982">
        <v>1521.29</v>
      </c>
      <c r="CI24" s="958"/>
      <c r="CJ24" s="958">
        <v>2727</v>
      </c>
      <c r="CK24" s="1002">
        <v>67747.55</v>
      </c>
      <c r="CL24" s="982">
        <v>356</v>
      </c>
      <c r="CM24" s="958"/>
      <c r="CN24" s="958">
        <v>696</v>
      </c>
      <c r="CO24" s="1002">
        <v>16310</v>
      </c>
      <c r="CP24" s="982"/>
      <c r="CQ24" s="958"/>
      <c r="CR24" s="958"/>
      <c r="CS24" s="1002"/>
    </row>
    <row r="25" spans="1:97" ht="16.5">
      <c r="A25" s="957" t="s">
        <v>428</v>
      </c>
      <c r="B25" s="974">
        <v>13</v>
      </c>
      <c r="C25" s="958">
        <v>15</v>
      </c>
      <c r="D25" s="958">
        <v>131</v>
      </c>
      <c r="E25" s="1007">
        <v>924</v>
      </c>
      <c r="F25" s="984"/>
      <c r="G25" s="958"/>
      <c r="H25" s="958"/>
      <c r="I25" s="1002"/>
      <c r="J25" s="982"/>
      <c r="K25" s="958"/>
      <c r="L25" s="958"/>
      <c r="M25" s="1002"/>
      <c r="N25" s="982"/>
      <c r="O25" s="958"/>
      <c r="P25" s="958"/>
      <c r="Q25" s="983"/>
      <c r="R25" s="984">
        <v>0.59</v>
      </c>
      <c r="S25" s="958"/>
      <c r="T25" s="958">
        <v>7</v>
      </c>
      <c r="U25" s="1002">
        <v>22.82</v>
      </c>
      <c r="V25" s="982">
        <v>741.4</v>
      </c>
      <c r="W25" s="958"/>
      <c r="X25" s="958">
        <v>857</v>
      </c>
      <c r="Y25" s="1002">
        <v>32610.8</v>
      </c>
      <c r="Z25" s="982">
        <v>80.27</v>
      </c>
      <c r="AA25" s="958">
        <v>3</v>
      </c>
      <c r="AB25" s="958">
        <v>36919</v>
      </c>
      <c r="AC25" s="1002">
        <v>16856.63</v>
      </c>
      <c r="AD25" s="982">
        <v>0.5</v>
      </c>
      <c r="AE25" s="958"/>
      <c r="AF25" s="958">
        <v>58</v>
      </c>
      <c r="AG25" s="1002">
        <v>12.86</v>
      </c>
      <c r="AH25" s="982"/>
      <c r="AI25" s="958"/>
      <c r="AJ25" s="958"/>
      <c r="AK25" s="1002"/>
      <c r="AL25" s="982">
        <v>1</v>
      </c>
      <c r="AM25" s="958"/>
      <c r="AN25" s="958">
        <v>16</v>
      </c>
      <c r="AO25" s="1002">
        <v>39</v>
      </c>
      <c r="AP25" s="982">
        <v>137.84</v>
      </c>
      <c r="AQ25" s="958">
        <v>2</v>
      </c>
      <c r="AR25" s="958">
        <v>9270</v>
      </c>
      <c r="AS25" s="1002">
        <v>24183</v>
      </c>
      <c r="AT25" s="982">
        <v>214.5</v>
      </c>
      <c r="AU25" s="958">
        <v>251</v>
      </c>
      <c r="AV25" s="958">
        <v>27481</v>
      </c>
      <c r="AW25" s="1002">
        <v>229717.1</v>
      </c>
      <c r="AX25" s="982"/>
      <c r="AY25" s="958"/>
      <c r="AZ25" s="958"/>
      <c r="BA25" s="1002"/>
      <c r="BB25" s="982">
        <v>49.79</v>
      </c>
      <c r="BC25" s="958">
        <v>9</v>
      </c>
      <c r="BD25" s="958">
        <v>28271</v>
      </c>
      <c r="BE25" s="1002">
        <v>85942.42</v>
      </c>
      <c r="BF25" s="982">
        <v>149.48</v>
      </c>
      <c r="BG25" s="958">
        <v>9</v>
      </c>
      <c r="BH25" s="958">
        <v>51510</v>
      </c>
      <c r="BI25" s="1002">
        <v>18682.69</v>
      </c>
      <c r="BJ25" s="982"/>
      <c r="BK25" s="958"/>
      <c r="BL25" s="958"/>
      <c r="BM25" s="1002"/>
      <c r="BN25" s="982"/>
      <c r="BO25" s="958"/>
      <c r="BP25" s="958"/>
      <c r="BQ25" s="1002"/>
      <c r="BR25" s="982">
        <v>2</v>
      </c>
      <c r="BS25" s="958">
        <v>3</v>
      </c>
      <c r="BT25" s="958">
        <v>225</v>
      </c>
      <c r="BU25" s="1002">
        <v>1023</v>
      </c>
      <c r="BV25" s="982"/>
      <c r="BW25" s="958"/>
      <c r="BX25" s="958"/>
      <c r="BY25" s="1002"/>
      <c r="BZ25" s="982">
        <v>198</v>
      </c>
      <c r="CA25" s="958">
        <v>5</v>
      </c>
      <c r="CB25" s="958">
        <v>26547</v>
      </c>
      <c r="CC25" s="983">
        <v>6798</v>
      </c>
      <c r="CD25" s="984">
        <v>4.31</v>
      </c>
      <c r="CE25" s="958"/>
      <c r="CF25" s="958">
        <v>219</v>
      </c>
      <c r="CG25" s="1002">
        <v>178.15</v>
      </c>
      <c r="CH25" s="982">
        <v>1117.15</v>
      </c>
      <c r="CI25" s="958"/>
      <c r="CJ25" s="958">
        <v>1586</v>
      </c>
      <c r="CK25" s="1002">
        <v>41658.94</v>
      </c>
      <c r="CL25" s="982">
        <v>316</v>
      </c>
      <c r="CM25" s="958"/>
      <c r="CN25" s="958">
        <v>448</v>
      </c>
      <c r="CO25" s="1002">
        <v>15063</v>
      </c>
      <c r="CP25" s="982"/>
      <c r="CQ25" s="958"/>
      <c r="CR25" s="958"/>
      <c r="CS25" s="1002"/>
    </row>
    <row r="26" spans="1:97" ht="16.5">
      <c r="A26" s="957" t="s">
        <v>429</v>
      </c>
      <c r="B26" s="974">
        <v>15</v>
      </c>
      <c r="C26" s="958">
        <v>13</v>
      </c>
      <c r="D26" s="958">
        <v>657</v>
      </c>
      <c r="E26" s="1007">
        <v>1252</v>
      </c>
      <c r="F26" s="984"/>
      <c r="G26" s="958"/>
      <c r="H26" s="958"/>
      <c r="I26" s="1002"/>
      <c r="J26" s="982">
        <v>5</v>
      </c>
      <c r="K26" s="958"/>
      <c r="L26" s="958">
        <v>1235</v>
      </c>
      <c r="M26" s="1002">
        <v>671</v>
      </c>
      <c r="N26" s="982"/>
      <c r="O26" s="958"/>
      <c r="P26" s="958"/>
      <c r="Q26" s="983"/>
      <c r="R26" s="984">
        <v>0.23</v>
      </c>
      <c r="S26" s="958"/>
      <c r="T26" s="958">
        <v>2</v>
      </c>
      <c r="U26" s="1002">
        <v>7.99</v>
      </c>
      <c r="V26" s="982">
        <v>520.7</v>
      </c>
      <c r="W26" s="958"/>
      <c r="X26" s="958">
        <v>464</v>
      </c>
      <c r="Y26" s="1002">
        <v>20170.3</v>
      </c>
      <c r="Z26" s="982">
        <v>99.94</v>
      </c>
      <c r="AA26" s="958">
        <v>3</v>
      </c>
      <c r="AB26" s="958">
        <v>46493</v>
      </c>
      <c r="AC26" s="1002">
        <v>23703.74</v>
      </c>
      <c r="AD26" s="982">
        <v>0.2</v>
      </c>
      <c r="AE26" s="958"/>
      <c r="AF26" s="958">
        <v>15</v>
      </c>
      <c r="AG26" s="1002">
        <v>4.25</v>
      </c>
      <c r="AH26" s="982"/>
      <c r="AI26" s="958"/>
      <c r="AJ26" s="958"/>
      <c r="AK26" s="1002"/>
      <c r="AL26" s="982">
        <v>1</v>
      </c>
      <c r="AM26" s="958"/>
      <c r="AN26" s="958"/>
      <c r="AO26" s="1002">
        <v>116</v>
      </c>
      <c r="AP26" s="982">
        <v>140.48</v>
      </c>
      <c r="AQ26" s="958">
        <v>2</v>
      </c>
      <c r="AR26" s="958">
        <v>4488</v>
      </c>
      <c r="AS26" s="1002">
        <v>22681</v>
      </c>
      <c r="AT26" s="982">
        <v>237.8</v>
      </c>
      <c r="AU26" s="958">
        <v>220</v>
      </c>
      <c r="AV26" s="958">
        <v>26176</v>
      </c>
      <c r="AW26" s="1002">
        <v>255709.1</v>
      </c>
      <c r="AX26" s="982"/>
      <c r="AY26" s="958"/>
      <c r="AZ26" s="958"/>
      <c r="BA26" s="1002"/>
      <c r="BB26" s="982">
        <v>37.04</v>
      </c>
      <c r="BC26" s="958">
        <v>4</v>
      </c>
      <c r="BD26" s="958">
        <v>7622</v>
      </c>
      <c r="BE26" s="1002">
        <v>20741.89</v>
      </c>
      <c r="BF26" s="982">
        <v>157.31</v>
      </c>
      <c r="BG26" s="958">
        <v>4</v>
      </c>
      <c r="BH26" s="958">
        <v>55249</v>
      </c>
      <c r="BI26" s="1002">
        <v>18232.33</v>
      </c>
      <c r="BJ26" s="982"/>
      <c r="BK26" s="958"/>
      <c r="BL26" s="958"/>
      <c r="BM26" s="1002"/>
      <c r="BN26" s="982"/>
      <c r="BO26" s="958"/>
      <c r="BP26" s="958"/>
      <c r="BQ26" s="1002"/>
      <c r="BR26" s="982">
        <v>3</v>
      </c>
      <c r="BS26" s="958">
        <v>3</v>
      </c>
      <c r="BT26" s="958">
        <v>771</v>
      </c>
      <c r="BU26" s="1002">
        <v>1900</v>
      </c>
      <c r="BV26" s="982"/>
      <c r="BW26" s="958"/>
      <c r="BX26" s="958"/>
      <c r="BY26" s="1002"/>
      <c r="BZ26" s="982">
        <v>238</v>
      </c>
      <c r="CA26" s="958">
        <v>1</v>
      </c>
      <c r="CB26" s="958">
        <v>15830</v>
      </c>
      <c r="CC26" s="983">
        <v>4950</v>
      </c>
      <c r="CD26" s="984">
        <v>3.51</v>
      </c>
      <c r="CE26" s="958">
        <v>1</v>
      </c>
      <c r="CF26" s="958">
        <v>86</v>
      </c>
      <c r="CG26" s="1002">
        <v>252.95</v>
      </c>
      <c r="CH26" s="982">
        <v>847.13</v>
      </c>
      <c r="CI26" s="958"/>
      <c r="CJ26" s="958">
        <v>977</v>
      </c>
      <c r="CK26" s="1002">
        <v>27573.33</v>
      </c>
      <c r="CL26" s="982">
        <v>250</v>
      </c>
      <c r="CM26" s="958"/>
      <c r="CN26" s="958">
        <v>291</v>
      </c>
      <c r="CO26" s="1002">
        <v>11050</v>
      </c>
      <c r="CP26" s="982"/>
      <c r="CQ26" s="958"/>
      <c r="CR26" s="958"/>
      <c r="CS26" s="1002"/>
    </row>
    <row r="27" spans="1:97" ht="16.5">
      <c r="A27" s="957" t="s">
        <v>430</v>
      </c>
      <c r="B27" s="974">
        <v>234676</v>
      </c>
      <c r="C27" s="958">
        <v>671</v>
      </c>
      <c r="D27" s="958">
        <v>865701</v>
      </c>
      <c r="E27" s="1007">
        <v>1094530</v>
      </c>
      <c r="F27" s="984">
        <v>523</v>
      </c>
      <c r="G27" s="958"/>
      <c r="H27" s="958"/>
      <c r="I27" s="1002"/>
      <c r="J27" s="982">
        <v>216</v>
      </c>
      <c r="K27" s="958"/>
      <c r="L27" s="958">
        <v>8296</v>
      </c>
      <c r="M27" s="1002">
        <v>10778</v>
      </c>
      <c r="N27" s="982">
        <v>43900</v>
      </c>
      <c r="O27" s="958">
        <v>1</v>
      </c>
      <c r="P27" s="958">
        <v>1753</v>
      </c>
      <c r="Q27" s="983"/>
      <c r="R27" s="984">
        <v>0.26</v>
      </c>
      <c r="S27" s="958"/>
      <c r="T27" s="958">
        <v>2</v>
      </c>
      <c r="U27" s="1002">
        <v>10</v>
      </c>
      <c r="V27" s="982">
        <v>59133.3</v>
      </c>
      <c r="W27" s="958"/>
      <c r="X27" s="958">
        <v>3764</v>
      </c>
      <c r="Y27" s="1002">
        <v>55113.9</v>
      </c>
      <c r="Z27" s="982">
        <v>4671.78</v>
      </c>
      <c r="AA27" s="958">
        <v>17</v>
      </c>
      <c r="AB27" s="958">
        <v>1328451</v>
      </c>
      <c r="AC27" s="1002">
        <v>490531.23</v>
      </c>
      <c r="AD27" s="982">
        <v>0.5</v>
      </c>
      <c r="AE27" s="958"/>
      <c r="AF27" s="958">
        <v>20</v>
      </c>
      <c r="AG27" s="1002">
        <v>12.1</v>
      </c>
      <c r="AH27" s="982">
        <v>70.6</v>
      </c>
      <c r="AI27" s="958"/>
      <c r="AJ27" s="958">
        <v>3332</v>
      </c>
      <c r="AK27" s="1002">
        <v>5465.8</v>
      </c>
      <c r="AL27" s="982">
        <v>7859</v>
      </c>
      <c r="AM27" s="958">
        <v>5</v>
      </c>
      <c r="AN27" s="958">
        <v>51920</v>
      </c>
      <c r="AO27" s="1002">
        <v>487475</v>
      </c>
      <c r="AP27" s="982">
        <v>918979.03</v>
      </c>
      <c r="AQ27" s="958">
        <v>131</v>
      </c>
      <c r="AR27" s="958">
        <v>29147815</v>
      </c>
      <c r="AS27" s="1002">
        <v>26828635</v>
      </c>
      <c r="AT27" s="982">
        <v>273994.6</v>
      </c>
      <c r="AU27" s="958">
        <v>2359</v>
      </c>
      <c r="AV27" s="958">
        <v>24963432</v>
      </c>
      <c r="AW27" s="1002">
        <v>59274483.1</v>
      </c>
      <c r="AX27" s="982">
        <v>127.27</v>
      </c>
      <c r="AY27" s="958">
        <v>0</v>
      </c>
      <c r="AZ27" s="958">
        <v>16581</v>
      </c>
      <c r="BA27" s="1002">
        <v>4569.48</v>
      </c>
      <c r="BB27" s="982">
        <v>100744.11</v>
      </c>
      <c r="BC27" s="958">
        <v>165</v>
      </c>
      <c r="BD27" s="958">
        <v>3885169</v>
      </c>
      <c r="BE27" s="1002">
        <v>16680270.42</v>
      </c>
      <c r="BF27" s="982">
        <v>103590.12</v>
      </c>
      <c r="BG27" s="958">
        <v>27</v>
      </c>
      <c r="BH27" s="958">
        <v>15332011</v>
      </c>
      <c r="BI27" s="1002">
        <v>9826446.56</v>
      </c>
      <c r="BJ27" s="982"/>
      <c r="BK27" s="958"/>
      <c r="BL27" s="958"/>
      <c r="BM27" s="1002"/>
      <c r="BN27" s="982"/>
      <c r="BO27" s="958"/>
      <c r="BP27" s="958"/>
      <c r="BQ27" s="1002"/>
      <c r="BR27" s="982">
        <v>1201</v>
      </c>
      <c r="BS27" s="958">
        <v>38</v>
      </c>
      <c r="BT27" s="958">
        <v>252751</v>
      </c>
      <c r="BU27" s="1002">
        <v>1089944</v>
      </c>
      <c r="BV27" s="982"/>
      <c r="BW27" s="958"/>
      <c r="BX27" s="958"/>
      <c r="BY27" s="1002"/>
      <c r="BZ27" s="982">
        <v>6797</v>
      </c>
      <c r="CA27" s="958">
        <v>156</v>
      </c>
      <c r="CB27" s="958">
        <v>121525</v>
      </c>
      <c r="CC27" s="983">
        <v>15135</v>
      </c>
      <c r="CD27" s="984">
        <v>20372.83</v>
      </c>
      <c r="CE27" s="958">
        <v>2</v>
      </c>
      <c r="CF27" s="958">
        <v>3059237</v>
      </c>
      <c r="CG27" s="1002">
        <v>2112736.58</v>
      </c>
      <c r="CH27" s="982">
        <v>8657.01</v>
      </c>
      <c r="CI27" s="958">
        <v>2</v>
      </c>
      <c r="CJ27" s="958">
        <v>36231</v>
      </c>
      <c r="CK27" s="1002">
        <v>421797.15</v>
      </c>
      <c r="CL27" s="982">
        <v>962</v>
      </c>
      <c r="CM27" s="958">
        <v>1</v>
      </c>
      <c r="CN27" s="958">
        <v>607</v>
      </c>
      <c r="CO27" s="1002">
        <v>34141</v>
      </c>
      <c r="CP27" s="982"/>
      <c r="CQ27" s="958"/>
      <c r="CR27" s="958"/>
      <c r="CS27" s="1002"/>
    </row>
    <row r="28" spans="1:97" ht="16.5">
      <c r="A28" s="956" t="s">
        <v>440</v>
      </c>
      <c r="B28" s="984"/>
      <c r="C28" s="958"/>
      <c r="D28" s="958"/>
      <c r="E28" s="1002"/>
      <c r="F28" s="984"/>
      <c r="G28" s="958"/>
      <c r="H28" s="958"/>
      <c r="I28" s="1002"/>
      <c r="J28" s="982"/>
      <c r="K28" s="958"/>
      <c r="L28" s="958"/>
      <c r="M28" s="1002"/>
      <c r="N28" s="982"/>
      <c r="O28" s="958"/>
      <c r="P28" s="958"/>
      <c r="Q28" s="983"/>
      <c r="R28" s="984"/>
      <c r="S28" s="958"/>
      <c r="T28" s="958"/>
      <c r="U28" s="1002"/>
      <c r="V28" s="982"/>
      <c r="W28" s="958"/>
      <c r="X28" s="958"/>
      <c r="Y28" s="1002"/>
      <c r="Z28" s="982"/>
      <c r="AA28" s="958"/>
      <c r="AB28" s="958"/>
      <c r="AC28" s="1002"/>
      <c r="AD28" s="982"/>
      <c r="AE28" s="958"/>
      <c r="AF28" s="958"/>
      <c r="AG28" s="1002"/>
      <c r="AH28" s="982"/>
      <c r="AI28" s="958"/>
      <c r="AJ28" s="958"/>
      <c r="AK28" s="1002"/>
      <c r="AL28" s="982"/>
      <c r="AM28" s="958"/>
      <c r="AN28" s="958"/>
      <c r="AO28" s="1002"/>
      <c r="AP28" s="982"/>
      <c r="AQ28" s="958"/>
      <c r="AR28" s="958"/>
      <c r="AS28" s="1002"/>
      <c r="AT28" s="982"/>
      <c r="AU28" s="958"/>
      <c r="AV28" s="958"/>
      <c r="AW28" s="1002"/>
      <c r="AX28" s="982"/>
      <c r="AY28" s="958"/>
      <c r="AZ28" s="958"/>
      <c r="BA28" s="1002"/>
      <c r="BB28" s="982"/>
      <c r="BC28" s="958"/>
      <c r="BD28" s="958"/>
      <c r="BE28" s="1002"/>
      <c r="BF28" s="982"/>
      <c r="BG28" s="958"/>
      <c r="BH28" s="958"/>
      <c r="BI28" s="1002"/>
      <c r="BJ28" s="982"/>
      <c r="BK28" s="958"/>
      <c r="BL28" s="958"/>
      <c r="BM28" s="1002"/>
      <c r="BN28" s="982"/>
      <c r="BO28" s="958"/>
      <c r="BP28" s="958"/>
      <c r="BQ28" s="1002"/>
      <c r="BR28" s="982"/>
      <c r="BS28" s="958"/>
      <c r="BT28" s="958"/>
      <c r="BU28" s="1002"/>
      <c r="BV28" s="982"/>
      <c r="BW28" s="958"/>
      <c r="BX28" s="958"/>
      <c r="BY28" s="1002"/>
      <c r="BZ28" s="982"/>
      <c r="CA28" s="958"/>
      <c r="CB28" s="958"/>
      <c r="CC28" s="983"/>
      <c r="CD28" s="984"/>
      <c r="CE28" s="958"/>
      <c r="CF28" s="958"/>
      <c r="CG28" s="1002"/>
      <c r="CH28" s="982"/>
      <c r="CI28" s="958"/>
      <c r="CJ28" s="958"/>
      <c r="CK28" s="1002"/>
      <c r="CL28" s="982"/>
      <c r="CM28" s="958"/>
      <c r="CN28" s="958"/>
      <c r="CO28" s="1002"/>
      <c r="CP28" s="982"/>
      <c r="CQ28" s="958"/>
      <c r="CR28" s="958"/>
      <c r="CS28" s="1002"/>
    </row>
    <row r="29" spans="1:97" ht="16.5">
      <c r="A29" s="957" t="s">
        <v>432</v>
      </c>
      <c r="B29" s="1005"/>
      <c r="C29" s="958"/>
      <c r="D29" s="1006"/>
      <c r="E29" s="1002"/>
      <c r="F29" s="984"/>
      <c r="G29" s="958"/>
      <c r="H29" s="958"/>
      <c r="I29" s="1002"/>
      <c r="J29" s="982"/>
      <c r="K29" s="958"/>
      <c r="L29" s="958"/>
      <c r="M29" s="1002"/>
      <c r="N29" s="982"/>
      <c r="O29" s="958"/>
      <c r="P29" s="958"/>
      <c r="Q29" s="983"/>
      <c r="R29" s="984"/>
      <c r="S29" s="958"/>
      <c r="T29" s="958"/>
      <c r="U29" s="1002"/>
      <c r="V29" s="982"/>
      <c r="W29" s="958"/>
      <c r="X29" s="958"/>
      <c r="Y29" s="1002"/>
      <c r="Z29" s="982"/>
      <c r="AA29" s="958"/>
      <c r="AB29" s="958"/>
      <c r="AC29" s="1002"/>
      <c r="AD29" s="982"/>
      <c r="AE29" s="958"/>
      <c r="AF29" s="958"/>
      <c r="AG29" s="1002"/>
      <c r="AH29" s="982"/>
      <c r="AI29" s="958"/>
      <c r="AJ29" s="958"/>
      <c r="AK29" s="1002"/>
      <c r="AL29" s="982"/>
      <c r="AM29" s="958"/>
      <c r="AN29" s="958"/>
      <c r="AO29" s="1002"/>
      <c r="AP29" s="982">
        <v>-92.54</v>
      </c>
      <c r="AQ29" s="958">
        <v>8</v>
      </c>
      <c r="AR29" s="958">
        <v>74</v>
      </c>
      <c r="AS29" s="1002"/>
      <c r="AT29" s="982"/>
      <c r="AU29" s="958"/>
      <c r="AV29" s="958"/>
      <c r="AW29" s="1002"/>
      <c r="AX29" s="982"/>
      <c r="AY29" s="958"/>
      <c r="AZ29" s="958"/>
      <c r="BA29" s="1002"/>
      <c r="BB29" s="982"/>
      <c r="BC29" s="958"/>
      <c r="BD29" s="958"/>
      <c r="BE29" s="1002"/>
      <c r="BF29" s="982"/>
      <c r="BG29" s="958"/>
      <c r="BH29" s="958"/>
      <c r="BI29" s="1002"/>
      <c r="BJ29" s="982"/>
      <c r="BK29" s="958"/>
      <c r="BL29" s="958"/>
      <c r="BM29" s="1002"/>
      <c r="BN29" s="982"/>
      <c r="BO29" s="958"/>
      <c r="BP29" s="958"/>
      <c r="BQ29" s="1002"/>
      <c r="BR29" s="982"/>
      <c r="BS29" s="958"/>
      <c r="BT29" s="958"/>
      <c r="BU29" s="1002"/>
      <c r="BV29" s="982"/>
      <c r="BW29" s="958"/>
      <c r="BX29" s="958"/>
      <c r="BY29" s="1002"/>
      <c r="BZ29" s="982"/>
      <c r="CA29" s="958"/>
      <c r="CB29" s="958"/>
      <c r="CC29" s="983"/>
      <c r="CD29" s="984"/>
      <c r="CE29" s="958"/>
      <c r="CF29" s="958"/>
      <c r="CG29" s="1002"/>
      <c r="CH29" s="982"/>
      <c r="CI29" s="958"/>
      <c r="CJ29" s="958"/>
      <c r="CK29" s="1002"/>
      <c r="CL29" s="982"/>
      <c r="CM29" s="958"/>
      <c r="CN29" s="958"/>
      <c r="CO29" s="1002"/>
      <c r="CP29" s="982"/>
      <c r="CQ29" s="958"/>
      <c r="CR29" s="958"/>
      <c r="CS29" s="1002"/>
    </row>
    <row r="30" spans="1:97" ht="16.5">
      <c r="A30" s="957" t="s">
        <v>433</v>
      </c>
      <c r="B30" s="1005"/>
      <c r="C30" s="958"/>
      <c r="D30" s="1006"/>
      <c r="E30" s="1002"/>
      <c r="F30" s="984"/>
      <c r="G30" s="958"/>
      <c r="H30" s="958"/>
      <c r="I30" s="1002"/>
      <c r="J30" s="982"/>
      <c r="K30" s="958"/>
      <c r="L30" s="958"/>
      <c r="M30" s="1002"/>
      <c r="N30" s="982"/>
      <c r="O30" s="958"/>
      <c r="P30" s="958"/>
      <c r="Q30" s="983"/>
      <c r="R30" s="984"/>
      <c r="S30" s="958"/>
      <c r="T30" s="958"/>
      <c r="U30" s="1002"/>
      <c r="V30" s="982"/>
      <c r="W30" s="958"/>
      <c r="X30" s="958"/>
      <c r="Y30" s="1002"/>
      <c r="Z30" s="982"/>
      <c r="AA30" s="958"/>
      <c r="AB30" s="958"/>
      <c r="AC30" s="1002"/>
      <c r="AD30" s="982"/>
      <c r="AE30" s="958"/>
      <c r="AF30" s="958"/>
      <c r="AG30" s="1002"/>
      <c r="AH30" s="982"/>
      <c r="AI30" s="958"/>
      <c r="AJ30" s="958"/>
      <c r="AK30" s="1002"/>
      <c r="AL30" s="982"/>
      <c r="AM30" s="958"/>
      <c r="AN30" s="958"/>
      <c r="AO30" s="1002"/>
      <c r="AP30" s="982">
        <v>131.4</v>
      </c>
      <c r="AQ30" s="958"/>
      <c r="AR30" s="958">
        <v>176</v>
      </c>
      <c r="AS30" s="1002"/>
      <c r="AT30" s="982"/>
      <c r="AU30" s="958"/>
      <c r="AV30" s="958"/>
      <c r="AW30" s="1002"/>
      <c r="AX30" s="982"/>
      <c r="AY30" s="958"/>
      <c r="AZ30" s="958"/>
      <c r="BA30" s="1002"/>
      <c r="BB30" s="982"/>
      <c r="BC30" s="958"/>
      <c r="BD30" s="958"/>
      <c r="BE30" s="1002"/>
      <c r="BF30" s="982"/>
      <c r="BG30" s="958"/>
      <c r="BH30" s="958"/>
      <c r="BI30" s="1002"/>
      <c r="BJ30" s="982"/>
      <c r="BK30" s="958"/>
      <c r="BL30" s="958"/>
      <c r="BM30" s="1002"/>
      <c r="BN30" s="982"/>
      <c r="BO30" s="958"/>
      <c r="BP30" s="958"/>
      <c r="BQ30" s="1002"/>
      <c r="BR30" s="982"/>
      <c r="BS30" s="958"/>
      <c r="BT30" s="958"/>
      <c r="BU30" s="1002"/>
      <c r="BV30" s="982"/>
      <c r="BW30" s="958"/>
      <c r="BX30" s="958"/>
      <c r="BY30" s="1002"/>
      <c r="BZ30" s="982"/>
      <c r="CA30" s="958"/>
      <c r="CB30" s="958"/>
      <c r="CC30" s="983"/>
      <c r="CD30" s="984"/>
      <c r="CE30" s="958"/>
      <c r="CF30" s="958"/>
      <c r="CG30" s="1002"/>
      <c r="CH30" s="982"/>
      <c r="CI30" s="958"/>
      <c r="CJ30" s="958"/>
      <c r="CK30" s="1002"/>
      <c r="CL30" s="982"/>
      <c r="CM30" s="958"/>
      <c r="CN30" s="958"/>
      <c r="CO30" s="1002"/>
      <c r="CP30" s="982"/>
      <c r="CQ30" s="958"/>
      <c r="CR30" s="958"/>
      <c r="CS30" s="1002"/>
    </row>
    <row r="31" spans="1:97" ht="16.5">
      <c r="A31" s="957" t="s">
        <v>434</v>
      </c>
      <c r="B31" s="1005"/>
      <c r="C31" s="958"/>
      <c r="D31" s="1006"/>
      <c r="E31" s="1002"/>
      <c r="F31" s="984"/>
      <c r="G31" s="958"/>
      <c r="H31" s="958"/>
      <c r="I31" s="1002"/>
      <c r="J31" s="982"/>
      <c r="K31" s="958"/>
      <c r="L31" s="958"/>
      <c r="M31" s="1002"/>
      <c r="N31" s="982"/>
      <c r="O31" s="958"/>
      <c r="P31" s="958"/>
      <c r="Q31" s="983"/>
      <c r="R31" s="984"/>
      <c r="S31" s="958"/>
      <c r="T31" s="958"/>
      <c r="U31" s="1002"/>
      <c r="V31" s="982"/>
      <c r="W31" s="958"/>
      <c r="X31" s="958"/>
      <c r="Y31" s="1002"/>
      <c r="Z31" s="982"/>
      <c r="AA31" s="958"/>
      <c r="AB31" s="958"/>
      <c r="AC31" s="1002"/>
      <c r="AD31" s="982"/>
      <c r="AE31" s="958"/>
      <c r="AF31" s="958"/>
      <c r="AG31" s="1002"/>
      <c r="AH31" s="982"/>
      <c r="AI31" s="958"/>
      <c r="AJ31" s="958"/>
      <c r="AK31" s="1002"/>
      <c r="AL31" s="982"/>
      <c r="AM31" s="958"/>
      <c r="AN31" s="958"/>
      <c r="AO31" s="1002"/>
      <c r="AP31" s="982">
        <v>141.84</v>
      </c>
      <c r="AQ31" s="958">
        <v>1</v>
      </c>
      <c r="AR31" s="958">
        <v>113</v>
      </c>
      <c r="AS31" s="1002"/>
      <c r="AT31" s="982"/>
      <c r="AU31" s="958"/>
      <c r="AV31" s="958"/>
      <c r="AW31" s="1002"/>
      <c r="AX31" s="982"/>
      <c r="AY31" s="958"/>
      <c r="AZ31" s="958"/>
      <c r="BA31" s="1002"/>
      <c r="BB31" s="982"/>
      <c r="BC31" s="958"/>
      <c r="BD31" s="958"/>
      <c r="BE31" s="1002"/>
      <c r="BF31" s="982"/>
      <c r="BG31" s="958"/>
      <c r="BH31" s="958"/>
      <c r="BI31" s="1002"/>
      <c r="BJ31" s="982"/>
      <c r="BK31" s="958"/>
      <c r="BL31" s="958"/>
      <c r="BM31" s="1002"/>
      <c r="BN31" s="982"/>
      <c r="BO31" s="958"/>
      <c r="BP31" s="958"/>
      <c r="BQ31" s="1002"/>
      <c r="BR31" s="982"/>
      <c r="BS31" s="958"/>
      <c r="BT31" s="958"/>
      <c r="BU31" s="1002"/>
      <c r="BV31" s="982"/>
      <c r="BW31" s="958"/>
      <c r="BX31" s="958"/>
      <c r="BY31" s="1002"/>
      <c r="BZ31" s="982"/>
      <c r="CA31" s="958"/>
      <c r="CB31" s="958"/>
      <c r="CC31" s="983"/>
      <c r="CD31" s="984"/>
      <c r="CE31" s="958"/>
      <c r="CF31" s="958"/>
      <c r="CG31" s="1002"/>
      <c r="CH31" s="982"/>
      <c r="CI31" s="958"/>
      <c r="CJ31" s="958"/>
      <c r="CK31" s="1002"/>
      <c r="CL31" s="982"/>
      <c r="CM31" s="958"/>
      <c r="CN31" s="958"/>
      <c r="CO31" s="1002"/>
      <c r="CP31" s="982"/>
      <c r="CQ31" s="958"/>
      <c r="CR31" s="958"/>
      <c r="CS31" s="1002"/>
    </row>
    <row r="32" spans="1:97" ht="16.5">
      <c r="A32" s="957" t="s">
        <v>435</v>
      </c>
      <c r="B32" s="1005"/>
      <c r="C32" s="958"/>
      <c r="D32" s="1006"/>
      <c r="E32" s="1002"/>
      <c r="F32" s="984"/>
      <c r="G32" s="958"/>
      <c r="H32" s="958"/>
      <c r="I32" s="1002"/>
      <c r="J32" s="982"/>
      <c r="K32" s="958"/>
      <c r="L32" s="958"/>
      <c r="M32" s="1002"/>
      <c r="N32" s="982"/>
      <c r="O32" s="958"/>
      <c r="P32" s="958"/>
      <c r="Q32" s="983"/>
      <c r="R32" s="984"/>
      <c r="S32" s="958"/>
      <c r="T32" s="958"/>
      <c r="U32" s="1002"/>
      <c r="V32" s="982"/>
      <c r="W32" s="958"/>
      <c r="X32" s="958"/>
      <c r="Y32" s="1002"/>
      <c r="Z32" s="982"/>
      <c r="AA32" s="958"/>
      <c r="AB32" s="958"/>
      <c r="AC32" s="1002"/>
      <c r="AD32" s="982"/>
      <c r="AE32" s="958"/>
      <c r="AF32" s="958"/>
      <c r="AG32" s="1002"/>
      <c r="AH32" s="982"/>
      <c r="AI32" s="958"/>
      <c r="AJ32" s="958"/>
      <c r="AK32" s="1002"/>
      <c r="AL32" s="982"/>
      <c r="AM32" s="958"/>
      <c r="AN32" s="958"/>
      <c r="AO32" s="1002"/>
      <c r="AP32" s="982">
        <v>232.8</v>
      </c>
      <c r="AQ32" s="958"/>
      <c r="AR32" s="958">
        <v>124</v>
      </c>
      <c r="AS32" s="1002"/>
      <c r="AT32" s="982"/>
      <c r="AU32" s="958"/>
      <c r="AV32" s="958"/>
      <c r="AW32" s="1002"/>
      <c r="AX32" s="982"/>
      <c r="AY32" s="958"/>
      <c r="AZ32" s="958"/>
      <c r="BA32" s="1002"/>
      <c r="BB32" s="982"/>
      <c r="BC32" s="958"/>
      <c r="BD32" s="958"/>
      <c r="BE32" s="1002"/>
      <c r="BF32" s="982"/>
      <c r="BG32" s="958"/>
      <c r="BH32" s="958"/>
      <c r="BI32" s="1002"/>
      <c r="BJ32" s="982"/>
      <c r="BK32" s="958"/>
      <c r="BL32" s="958"/>
      <c r="BM32" s="1002"/>
      <c r="BN32" s="982"/>
      <c r="BO32" s="958"/>
      <c r="BP32" s="958"/>
      <c r="BQ32" s="1002"/>
      <c r="BR32" s="982"/>
      <c r="BS32" s="958"/>
      <c r="BT32" s="958"/>
      <c r="BU32" s="1002"/>
      <c r="BV32" s="982"/>
      <c r="BW32" s="958"/>
      <c r="BX32" s="958"/>
      <c r="BY32" s="1002"/>
      <c r="BZ32" s="982"/>
      <c r="CA32" s="958"/>
      <c r="CB32" s="958"/>
      <c r="CC32" s="983"/>
      <c r="CD32" s="984"/>
      <c r="CE32" s="958"/>
      <c r="CF32" s="958"/>
      <c r="CG32" s="1002"/>
      <c r="CH32" s="982"/>
      <c r="CI32" s="958"/>
      <c r="CJ32" s="958"/>
      <c r="CK32" s="1002"/>
      <c r="CL32" s="982"/>
      <c r="CM32" s="958"/>
      <c r="CN32" s="958"/>
      <c r="CO32" s="1002"/>
      <c r="CP32" s="982"/>
      <c r="CQ32" s="958"/>
      <c r="CR32" s="958"/>
      <c r="CS32" s="1002"/>
    </row>
    <row r="33" spans="1:97" ht="16.5">
      <c r="A33" s="957" t="s">
        <v>436</v>
      </c>
      <c r="B33" s="1005"/>
      <c r="C33" s="958"/>
      <c r="D33" s="1006"/>
      <c r="E33" s="1002"/>
      <c r="F33" s="984"/>
      <c r="G33" s="958"/>
      <c r="H33" s="958"/>
      <c r="I33" s="1002"/>
      <c r="J33" s="982"/>
      <c r="K33" s="958"/>
      <c r="L33" s="958"/>
      <c r="M33" s="1002"/>
      <c r="N33" s="982"/>
      <c r="O33" s="958"/>
      <c r="P33" s="958"/>
      <c r="Q33" s="983"/>
      <c r="R33" s="984"/>
      <c r="S33" s="958"/>
      <c r="T33" s="958"/>
      <c r="U33" s="1002"/>
      <c r="V33" s="982"/>
      <c r="W33" s="958"/>
      <c r="X33" s="958"/>
      <c r="Y33" s="1002"/>
      <c r="Z33" s="982"/>
      <c r="AA33" s="958"/>
      <c r="AB33" s="958"/>
      <c r="AC33" s="1002"/>
      <c r="AD33" s="982"/>
      <c r="AE33" s="958"/>
      <c r="AF33" s="958"/>
      <c r="AG33" s="1002"/>
      <c r="AH33" s="982"/>
      <c r="AI33" s="958"/>
      <c r="AJ33" s="958"/>
      <c r="AK33" s="1002"/>
      <c r="AL33" s="982"/>
      <c r="AM33" s="958"/>
      <c r="AN33" s="958"/>
      <c r="AO33" s="1002"/>
      <c r="AP33" s="982">
        <v>1277.17</v>
      </c>
      <c r="AQ33" s="958"/>
      <c r="AR33" s="958">
        <v>573</v>
      </c>
      <c r="AS33" s="1002"/>
      <c r="AT33" s="982"/>
      <c r="AU33" s="958"/>
      <c r="AV33" s="958"/>
      <c r="AW33" s="1002"/>
      <c r="AX33" s="982"/>
      <c r="AY33" s="958"/>
      <c r="AZ33" s="958"/>
      <c r="BA33" s="1002"/>
      <c r="BB33" s="982"/>
      <c r="BC33" s="958"/>
      <c r="BD33" s="958"/>
      <c r="BE33" s="1002"/>
      <c r="BF33" s="982"/>
      <c r="BG33" s="958"/>
      <c r="BH33" s="958"/>
      <c r="BI33" s="1002"/>
      <c r="BJ33" s="982"/>
      <c r="BK33" s="958"/>
      <c r="BL33" s="958"/>
      <c r="BM33" s="1002"/>
      <c r="BN33" s="982"/>
      <c r="BO33" s="958"/>
      <c r="BP33" s="958"/>
      <c r="BQ33" s="1002"/>
      <c r="BR33" s="982"/>
      <c r="BS33" s="958"/>
      <c r="BT33" s="958"/>
      <c r="BU33" s="1002"/>
      <c r="BV33" s="982"/>
      <c r="BW33" s="958"/>
      <c r="BX33" s="958"/>
      <c r="BY33" s="1002"/>
      <c r="BZ33" s="982"/>
      <c r="CA33" s="958"/>
      <c r="CB33" s="958"/>
      <c r="CC33" s="983"/>
      <c r="CD33" s="984"/>
      <c r="CE33" s="958"/>
      <c r="CF33" s="958"/>
      <c r="CG33" s="1002"/>
      <c r="CH33" s="982"/>
      <c r="CI33" s="958"/>
      <c r="CJ33" s="958"/>
      <c r="CK33" s="1002"/>
      <c r="CL33" s="982"/>
      <c r="CM33" s="958"/>
      <c r="CN33" s="958"/>
      <c r="CO33" s="1002"/>
      <c r="CP33" s="982"/>
      <c r="CQ33" s="958"/>
      <c r="CR33" s="958"/>
      <c r="CS33" s="1002"/>
    </row>
    <row r="34" spans="1:97" ht="16.5">
      <c r="A34" s="957" t="s">
        <v>437</v>
      </c>
      <c r="B34" s="1005"/>
      <c r="C34" s="958"/>
      <c r="D34" s="1006"/>
      <c r="E34" s="1002"/>
      <c r="F34" s="984"/>
      <c r="G34" s="958"/>
      <c r="H34" s="958"/>
      <c r="I34" s="1002"/>
      <c r="J34" s="982"/>
      <c r="K34" s="958"/>
      <c r="L34" s="958"/>
      <c r="M34" s="1002"/>
      <c r="N34" s="982"/>
      <c r="O34" s="958"/>
      <c r="P34" s="958"/>
      <c r="Q34" s="983"/>
      <c r="R34" s="984"/>
      <c r="S34" s="958"/>
      <c r="T34" s="958"/>
      <c r="U34" s="1002"/>
      <c r="V34" s="982"/>
      <c r="W34" s="958"/>
      <c r="X34" s="958"/>
      <c r="Y34" s="1002"/>
      <c r="Z34" s="982"/>
      <c r="AA34" s="958"/>
      <c r="AB34" s="958"/>
      <c r="AC34" s="1002"/>
      <c r="AD34" s="982"/>
      <c r="AE34" s="958"/>
      <c r="AF34" s="958"/>
      <c r="AG34" s="1002"/>
      <c r="AH34" s="982"/>
      <c r="AI34" s="958"/>
      <c r="AJ34" s="958"/>
      <c r="AK34" s="1002"/>
      <c r="AL34" s="982"/>
      <c r="AM34" s="958"/>
      <c r="AN34" s="958"/>
      <c r="AO34" s="1002"/>
      <c r="AP34" s="982">
        <v>814.47</v>
      </c>
      <c r="AQ34" s="958"/>
      <c r="AR34" s="958">
        <v>300</v>
      </c>
      <c r="AS34" s="1002"/>
      <c r="AT34" s="982"/>
      <c r="AU34" s="958"/>
      <c r="AV34" s="958"/>
      <c r="AW34" s="1002"/>
      <c r="AX34" s="982"/>
      <c r="AY34" s="958"/>
      <c r="AZ34" s="958"/>
      <c r="BA34" s="1002"/>
      <c r="BB34" s="982"/>
      <c r="BC34" s="958"/>
      <c r="BD34" s="958"/>
      <c r="BE34" s="1002"/>
      <c r="BF34" s="982"/>
      <c r="BG34" s="958"/>
      <c r="BH34" s="958"/>
      <c r="BI34" s="1002"/>
      <c r="BJ34" s="982"/>
      <c r="BK34" s="958"/>
      <c r="BL34" s="958"/>
      <c r="BM34" s="1002"/>
      <c r="BN34" s="982"/>
      <c r="BO34" s="958"/>
      <c r="BP34" s="958"/>
      <c r="BQ34" s="1002"/>
      <c r="BR34" s="982"/>
      <c r="BS34" s="958"/>
      <c r="BT34" s="958"/>
      <c r="BU34" s="1002"/>
      <c r="BV34" s="982"/>
      <c r="BW34" s="958"/>
      <c r="BX34" s="958"/>
      <c r="BY34" s="1002"/>
      <c r="BZ34" s="982"/>
      <c r="CA34" s="958"/>
      <c r="CB34" s="958"/>
      <c r="CC34" s="983"/>
      <c r="CD34" s="984"/>
      <c r="CE34" s="958"/>
      <c r="CF34" s="958"/>
      <c r="CG34" s="1002"/>
      <c r="CH34" s="982"/>
      <c r="CI34" s="958"/>
      <c r="CJ34" s="958"/>
      <c r="CK34" s="1002"/>
      <c r="CL34" s="982"/>
      <c r="CM34" s="958"/>
      <c r="CN34" s="958"/>
      <c r="CO34" s="1002"/>
      <c r="CP34" s="982"/>
      <c r="CQ34" s="958"/>
      <c r="CR34" s="958"/>
      <c r="CS34" s="1002"/>
    </row>
    <row r="35" spans="1:97" ht="16.5">
      <c r="A35" s="957" t="s">
        <v>438</v>
      </c>
      <c r="B35" s="1005"/>
      <c r="C35" s="958"/>
      <c r="D35" s="1006"/>
      <c r="E35" s="1002"/>
      <c r="F35" s="984"/>
      <c r="G35" s="958"/>
      <c r="H35" s="958"/>
      <c r="I35" s="1002"/>
      <c r="J35" s="982"/>
      <c r="K35" s="958"/>
      <c r="L35" s="958"/>
      <c r="M35" s="1002"/>
      <c r="N35" s="982"/>
      <c r="O35" s="958"/>
      <c r="P35" s="958"/>
      <c r="Q35" s="983"/>
      <c r="R35" s="984"/>
      <c r="S35" s="958"/>
      <c r="T35" s="958"/>
      <c r="U35" s="1002"/>
      <c r="V35" s="982"/>
      <c r="W35" s="958"/>
      <c r="X35" s="958"/>
      <c r="Y35" s="1002"/>
      <c r="Z35" s="982"/>
      <c r="AA35" s="958"/>
      <c r="AB35" s="958"/>
      <c r="AC35" s="1002"/>
      <c r="AD35" s="982"/>
      <c r="AE35" s="958"/>
      <c r="AF35" s="958"/>
      <c r="AG35" s="1002"/>
      <c r="AH35" s="982"/>
      <c r="AI35" s="958"/>
      <c r="AJ35" s="958"/>
      <c r="AK35" s="1002"/>
      <c r="AL35" s="982"/>
      <c r="AM35" s="958"/>
      <c r="AN35" s="958"/>
      <c r="AO35" s="1002"/>
      <c r="AP35" s="982">
        <v>70493</v>
      </c>
      <c r="AQ35" s="958">
        <v>2</v>
      </c>
      <c r="AR35" s="958">
        <v>4205</v>
      </c>
      <c r="AS35" s="1002"/>
      <c r="AT35" s="982"/>
      <c r="AU35" s="958"/>
      <c r="AV35" s="958"/>
      <c r="AW35" s="1002"/>
      <c r="AX35" s="982"/>
      <c r="AY35" s="958"/>
      <c r="AZ35" s="958"/>
      <c r="BA35" s="1002"/>
      <c r="BB35" s="982"/>
      <c r="BC35" s="958"/>
      <c r="BD35" s="958"/>
      <c r="BE35" s="1002"/>
      <c r="BF35" s="982"/>
      <c r="BG35" s="958"/>
      <c r="BH35" s="958"/>
      <c r="BI35" s="1002"/>
      <c r="BJ35" s="982"/>
      <c r="BK35" s="958"/>
      <c r="BL35" s="958"/>
      <c r="BM35" s="1002"/>
      <c r="BN35" s="982"/>
      <c r="BO35" s="958"/>
      <c r="BP35" s="958"/>
      <c r="BQ35" s="1002"/>
      <c r="BR35" s="982"/>
      <c r="BS35" s="958"/>
      <c r="BT35" s="958"/>
      <c r="BU35" s="1002"/>
      <c r="BV35" s="982"/>
      <c r="BW35" s="958"/>
      <c r="BX35" s="958"/>
      <c r="BY35" s="1002"/>
      <c r="BZ35" s="982"/>
      <c r="CA35" s="958"/>
      <c r="CB35" s="958"/>
      <c r="CC35" s="983"/>
      <c r="CD35" s="984"/>
      <c r="CE35" s="958"/>
      <c r="CF35" s="958"/>
      <c r="CG35" s="1002"/>
      <c r="CH35" s="982"/>
      <c r="CI35" s="958"/>
      <c r="CJ35" s="958"/>
      <c r="CK35" s="1002"/>
      <c r="CL35" s="982"/>
      <c r="CM35" s="958"/>
      <c r="CN35" s="958"/>
      <c r="CO35" s="1002"/>
      <c r="CP35" s="982"/>
      <c r="CQ35" s="958"/>
      <c r="CR35" s="958"/>
      <c r="CS35" s="1002"/>
    </row>
    <row r="36" spans="1:97" ht="16.5">
      <c r="A36" s="956" t="s">
        <v>441</v>
      </c>
      <c r="B36" s="984"/>
      <c r="C36" s="958"/>
      <c r="D36" s="958"/>
      <c r="E36" s="1002"/>
      <c r="F36" s="984"/>
      <c r="G36" s="958"/>
      <c r="H36" s="958"/>
      <c r="I36" s="1002"/>
      <c r="J36" s="982"/>
      <c r="K36" s="958"/>
      <c r="L36" s="958"/>
      <c r="M36" s="1002"/>
      <c r="N36" s="982"/>
      <c r="O36" s="958"/>
      <c r="P36" s="958"/>
      <c r="Q36" s="983"/>
      <c r="R36" s="984"/>
      <c r="S36" s="958"/>
      <c r="T36" s="958"/>
      <c r="U36" s="1002"/>
      <c r="V36" s="982"/>
      <c r="W36" s="958"/>
      <c r="X36" s="958"/>
      <c r="Y36" s="1002"/>
      <c r="Z36" s="982"/>
      <c r="AA36" s="958"/>
      <c r="AB36" s="958"/>
      <c r="AC36" s="1002"/>
      <c r="AD36" s="982"/>
      <c r="AE36" s="958"/>
      <c r="AF36" s="958"/>
      <c r="AG36" s="1002"/>
      <c r="AH36" s="982"/>
      <c r="AI36" s="958"/>
      <c r="AJ36" s="958"/>
      <c r="AK36" s="1002"/>
      <c r="AL36" s="982"/>
      <c r="AM36" s="958"/>
      <c r="AN36" s="958"/>
      <c r="AO36" s="1002"/>
      <c r="AP36" s="982"/>
      <c r="AQ36" s="958"/>
      <c r="AR36" s="958"/>
      <c r="AS36" s="1002"/>
      <c r="AT36" s="982"/>
      <c r="AU36" s="958"/>
      <c r="AV36" s="958"/>
      <c r="AW36" s="1002"/>
      <c r="AX36" s="982"/>
      <c r="AY36" s="958"/>
      <c r="AZ36" s="958"/>
      <c r="BA36" s="1002"/>
      <c r="BB36" s="982"/>
      <c r="BC36" s="958"/>
      <c r="BD36" s="958"/>
      <c r="BE36" s="1002"/>
      <c r="BF36" s="982"/>
      <c r="BG36" s="958"/>
      <c r="BH36" s="958"/>
      <c r="BI36" s="1002"/>
      <c r="BJ36" s="982"/>
      <c r="BK36" s="958"/>
      <c r="BL36" s="958"/>
      <c r="BM36" s="1002"/>
      <c r="BN36" s="982"/>
      <c r="BO36" s="958"/>
      <c r="BP36" s="958"/>
      <c r="BQ36" s="1002"/>
      <c r="BR36" s="982"/>
      <c r="BS36" s="958"/>
      <c r="BT36" s="958"/>
      <c r="BU36" s="1002"/>
      <c r="BV36" s="982"/>
      <c r="BW36" s="958"/>
      <c r="BX36" s="958"/>
      <c r="BY36" s="1002"/>
      <c r="BZ36" s="982"/>
      <c r="CA36" s="958"/>
      <c r="CB36" s="958"/>
      <c r="CC36" s="983"/>
      <c r="CD36" s="984"/>
      <c r="CE36" s="958"/>
      <c r="CF36" s="958"/>
      <c r="CG36" s="1002"/>
      <c r="CH36" s="982"/>
      <c r="CI36" s="958"/>
      <c r="CJ36" s="958"/>
      <c r="CK36" s="1002"/>
      <c r="CL36" s="982"/>
      <c r="CM36" s="958"/>
      <c r="CN36" s="958"/>
      <c r="CO36" s="1002"/>
      <c r="CP36" s="982"/>
      <c r="CQ36" s="958"/>
      <c r="CR36" s="958"/>
      <c r="CS36" s="1002"/>
    </row>
    <row r="37" spans="1:97" ht="16.5">
      <c r="A37" s="957" t="s">
        <v>424</v>
      </c>
      <c r="B37" s="984">
        <v>28957</v>
      </c>
      <c r="C37" s="958">
        <v>72687</v>
      </c>
      <c r="D37" s="958">
        <v>72687</v>
      </c>
      <c r="E37" s="1002">
        <v>1022839</v>
      </c>
      <c r="F37" s="984">
        <v>324</v>
      </c>
      <c r="G37" s="958">
        <v>4742</v>
      </c>
      <c r="H37" s="958">
        <v>4289</v>
      </c>
      <c r="I37" s="1002">
        <v>289407</v>
      </c>
      <c r="J37" s="982">
        <v>141</v>
      </c>
      <c r="K37" s="958">
        <v>2238</v>
      </c>
      <c r="L37" s="958">
        <v>2239</v>
      </c>
      <c r="M37" s="1002">
        <v>1933</v>
      </c>
      <c r="N37" s="958">
        <v>3628</v>
      </c>
      <c r="O37" s="958">
        <v>71032</v>
      </c>
      <c r="P37" s="983">
        <v>62014</v>
      </c>
      <c r="Q37" s="984">
        <v>1882948</v>
      </c>
      <c r="R37" s="984">
        <v>1.7</v>
      </c>
      <c r="S37" s="958">
        <v>2617</v>
      </c>
      <c r="T37" s="958">
        <v>2616</v>
      </c>
      <c r="U37" s="1002">
        <v>509.89</v>
      </c>
      <c r="V37" s="982">
        <v>1515.5</v>
      </c>
      <c r="W37" s="958">
        <v>28732</v>
      </c>
      <c r="X37" s="958">
        <v>26206</v>
      </c>
      <c r="Y37" s="1002">
        <v>477132.2</v>
      </c>
      <c r="Z37" s="982">
        <v>10.71</v>
      </c>
      <c r="AA37" s="958">
        <v>133</v>
      </c>
      <c r="AB37" s="958">
        <v>167</v>
      </c>
      <c r="AC37" s="1002">
        <v>644.22</v>
      </c>
      <c r="AD37" s="982">
        <v>4.6</v>
      </c>
      <c r="AE37" s="958">
        <v>5830</v>
      </c>
      <c r="AF37" s="958">
        <v>5537</v>
      </c>
      <c r="AG37" s="1002">
        <v>1033.6</v>
      </c>
      <c r="AH37" s="982">
        <v>776.07</v>
      </c>
      <c r="AI37" s="958">
        <v>10078</v>
      </c>
      <c r="AJ37" s="958">
        <v>10007</v>
      </c>
      <c r="AK37" s="1002">
        <v>109893.38</v>
      </c>
      <c r="AL37" s="982">
        <v>823</v>
      </c>
      <c r="AM37" s="958">
        <v>6568</v>
      </c>
      <c r="AN37" s="958">
        <v>6474</v>
      </c>
      <c r="AO37" s="1002">
        <v>68166</v>
      </c>
      <c r="AP37" s="982">
        <v>3585.68</v>
      </c>
      <c r="AQ37" s="958">
        <v>68894</v>
      </c>
      <c r="AR37" s="958">
        <v>68896</v>
      </c>
      <c r="AS37" s="1002">
        <v>1582792.98</v>
      </c>
      <c r="AT37" s="982">
        <v>3051.4</v>
      </c>
      <c r="AU37" s="958">
        <v>75620</v>
      </c>
      <c r="AV37" s="958">
        <v>74524</v>
      </c>
      <c r="AW37" s="1002">
        <v>1978837.8</v>
      </c>
      <c r="AX37" s="982">
        <v>1.05</v>
      </c>
      <c r="AY37" s="958">
        <v>2987</v>
      </c>
      <c r="AZ37" s="958">
        <v>2563</v>
      </c>
      <c r="BA37" s="1002">
        <v>495.31</v>
      </c>
      <c r="BB37" s="982"/>
      <c r="BC37" s="958"/>
      <c r="BD37" s="958"/>
      <c r="BE37" s="1002"/>
      <c r="BF37" s="982">
        <v>1379.22</v>
      </c>
      <c r="BG37" s="958">
        <v>22218</v>
      </c>
      <c r="BH37" s="958">
        <v>22134</v>
      </c>
      <c r="BI37" s="1002">
        <v>1265266.42</v>
      </c>
      <c r="BJ37" s="982">
        <v>55.66</v>
      </c>
      <c r="BK37" s="958">
        <v>68455</v>
      </c>
      <c r="BL37" s="958">
        <v>65692</v>
      </c>
      <c r="BM37" s="1002">
        <v>34266.29</v>
      </c>
      <c r="BN37" s="982"/>
      <c r="BO37" s="958"/>
      <c r="BP37" s="958"/>
      <c r="BQ37" s="1002"/>
      <c r="BR37" s="982">
        <v>326</v>
      </c>
      <c r="BS37" s="958">
        <v>9851</v>
      </c>
      <c r="BT37" s="958">
        <v>7057</v>
      </c>
      <c r="BU37" s="1002">
        <v>161603</v>
      </c>
      <c r="BV37" s="982"/>
      <c r="BW37" s="958"/>
      <c r="BX37" s="958"/>
      <c r="BY37" s="1002"/>
      <c r="BZ37" s="982">
        <v>104</v>
      </c>
      <c r="CA37" s="958">
        <v>200134</v>
      </c>
      <c r="CB37" s="958">
        <v>200134</v>
      </c>
      <c r="CC37" s="983">
        <v>12283</v>
      </c>
      <c r="CD37" s="984"/>
      <c r="CE37" s="982"/>
      <c r="CF37" s="958"/>
      <c r="CG37" s="1002"/>
      <c r="CH37" s="982">
        <v>1391.29</v>
      </c>
      <c r="CI37" s="958">
        <v>18529</v>
      </c>
      <c r="CJ37" s="958">
        <f>CI37</f>
        <v>18529</v>
      </c>
      <c r="CK37" s="1002">
        <v>71647.98</v>
      </c>
      <c r="CL37" s="982">
        <v>1341</v>
      </c>
      <c r="CM37" s="958">
        <v>37280</v>
      </c>
      <c r="CN37" s="958">
        <v>31855</v>
      </c>
      <c r="CO37" s="1002">
        <v>872118</v>
      </c>
      <c r="CP37" s="982"/>
      <c r="CQ37" s="958"/>
      <c r="CR37" s="958"/>
      <c r="CS37" s="1002"/>
    </row>
    <row r="38" spans="1:97" ht="16.5">
      <c r="A38" s="957" t="s">
        <v>425</v>
      </c>
      <c r="B38" s="1003">
        <v>8653</v>
      </c>
      <c r="C38" s="958">
        <v>45448</v>
      </c>
      <c r="D38" s="958">
        <v>45448</v>
      </c>
      <c r="E38" s="1002">
        <v>705451</v>
      </c>
      <c r="F38" s="984">
        <v>986</v>
      </c>
      <c r="G38" s="958">
        <v>6310</v>
      </c>
      <c r="H38" s="958">
        <v>4940</v>
      </c>
      <c r="I38" s="1002">
        <v>526879</v>
      </c>
      <c r="J38" s="982">
        <v>953</v>
      </c>
      <c r="K38" s="958">
        <v>4901</v>
      </c>
      <c r="L38" s="604">
        <v>4877</v>
      </c>
      <c r="M38" s="1002">
        <v>36270</v>
      </c>
      <c r="N38" s="958">
        <v>32650</v>
      </c>
      <c r="O38" s="958">
        <v>143495</v>
      </c>
      <c r="P38" s="983">
        <v>136064</v>
      </c>
      <c r="Q38" s="984">
        <v>2126919</v>
      </c>
      <c r="R38" s="984">
        <v>72.23</v>
      </c>
      <c r="S38" s="958">
        <v>38313</v>
      </c>
      <c r="T38" s="958">
        <v>38307</v>
      </c>
      <c r="U38" s="1002">
        <v>3783.48</v>
      </c>
      <c r="V38" s="982">
        <v>11127.6</v>
      </c>
      <c r="W38" s="958">
        <v>56521</v>
      </c>
      <c r="X38" s="958">
        <v>56801</v>
      </c>
      <c r="Y38" s="1002">
        <v>792223.8</v>
      </c>
      <c r="Z38" s="982">
        <v>265.14</v>
      </c>
      <c r="AA38" s="958">
        <v>1289</v>
      </c>
      <c r="AB38" s="958">
        <v>1277</v>
      </c>
      <c r="AC38" s="1002">
        <v>2959</v>
      </c>
      <c r="AD38" s="982">
        <v>41.7</v>
      </c>
      <c r="AE38" s="958">
        <v>25319</v>
      </c>
      <c r="AF38" s="958">
        <v>24043</v>
      </c>
      <c r="AG38" s="1002">
        <v>4676.2</v>
      </c>
      <c r="AH38" s="982">
        <v>11726.69</v>
      </c>
      <c r="AI38" s="958">
        <v>66516</v>
      </c>
      <c r="AJ38" s="958">
        <v>65442</v>
      </c>
      <c r="AK38" s="1002">
        <v>453060.65</v>
      </c>
      <c r="AL38" s="982">
        <v>3409</v>
      </c>
      <c r="AM38" s="958">
        <v>15906</v>
      </c>
      <c r="AN38" s="958">
        <v>15356</v>
      </c>
      <c r="AO38" s="1002">
        <v>67923</v>
      </c>
      <c r="AP38" s="982">
        <v>40650.48</v>
      </c>
      <c r="AQ38" s="958">
        <v>232108</v>
      </c>
      <c r="AR38" s="958">
        <v>233877</v>
      </c>
      <c r="AS38" s="1002">
        <v>6066913.56</v>
      </c>
      <c r="AT38" s="982">
        <v>22465.4</v>
      </c>
      <c r="AU38" s="958">
        <v>135571</v>
      </c>
      <c r="AV38" s="958">
        <v>133105</v>
      </c>
      <c r="AW38" s="1002">
        <v>6444772.3</v>
      </c>
      <c r="AX38" s="982">
        <v>6.78</v>
      </c>
      <c r="AY38" s="958">
        <v>4083</v>
      </c>
      <c r="AZ38" s="958">
        <v>3743</v>
      </c>
      <c r="BA38" s="1002">
        <v>657.1</v>
      </c>
      <c r="BB38" s="982"/>
      <c r="BC38" s="958"/>
      <c r="BD38" s="958"/>
      <c r="BE38" s="1002"/>
      <c r="BF38" s="982">
        <v>10641.63</v>
      </c>
      <c r="BG38" s="958">
        <v>59435</v>
      </c>
      <c r="BH38" s="958">
        <v>53849</v>
      </c>
      <c r="BI38" s="1002">
        <v>1949738.63</v>
      </c>
      <c r="BJ38" s="982">
        <v>188.3</v>
      </c>
      <c r="BK38" s="958">
        <v>124990</v>
      </c>
      <c r="BL38" s="958">
        <v>119588</v>
      </c>
      <c r="BM38" s="1002">
        <v>82596</v>
      </c>
      <c r="BN38" s="982"/>
      <c r="BO38" s="958"/>
      <c r="BP38" s="958"/>
      <c r="BQ38" s="1002"/>
      <c r="BR38" s="982">
        <v>13317</v>
      </c>
      <c r="BS38" s="958">
        <v>69643</v>
      </c>
      <c r="BT38" s="958">
        <v>67366</v>
      </c>
      <c r="BU38" s="1002">
        <v>320073</v>
      </c>
      <c r="BV38" s="982"/>
      <c r="BW38" s="958"/>
      <c r="BX38" s="958"/>
      <c r="BY38" s="1002"/>
      <c r="BZ38" s="982">
        <v>713</v>
      </c>
      <c r="CA38" s="958">
        <v>427036</v>
      </c>
      <c r="CB38" s="958">
        <v>427036</v>
      </c>
      <c r="CC38" s="983">
        <v>37098</v>
      </c>
      <c r="CD38" s="984"/>
      <c r="CE38" s="982"/>
      <c r="CF38" s="958"/>
      <c r="CG38" s="1002"/>
      <c r="CH38" s="982">
        <v>1778.71</v>
      </c>
      <c r="CI38" s="958">
        <v>9450</v>
      </c>
      <c r="CJ38" s="958">
        <f aca="true" t="shared" si="1" ref="CJ38:CJ43">CI38</f>
        <v>9450</v>
      </c>
      <c r="CK38" s="1002">
        <v>73000.96</v>
      </c>
      <c r="CL38" s="982">
        <v>23690</v>
      </c>
      <c r="CM38" s="958">
        <v>125760</v>
      </c>
      <c r="CN38" s="958">
        <v>122523</v>
      </c>
      <c r="CO38" s="1002">
        <v>5926508</v>
      </c>
      <c r="CP38" s="982"/>
      <c r="CQ38" s="958"/>
      <c r="CR38" s="958"/>
      <c r="CS38" s="1002"/>
    </row>
    <row r="39" spans="1:97" ht="16.5">
      <c r="A39" s="957" t="s">
        <v>426</v>
      </c>
      <c r="B39" s="1003">
        <v>21292</v>
      </c>
      <c r="C39" s="958">
        <v>55098</v>
      </c>
      <c r="D39" s="958">
        <v>55098</v>
      </c>
      <c r="E39" s="1002">
        <v>774810</v>
      </c>
      <c r="F39" s="984">
        <v>822</v>
      </c>
      <c r="G39" s="958">
        <v>2380</v>
      </c>
      <c r="H39" s="958">
        <v>1480</v>
      </c>
      <c r="I39" s="1002">
        <v>160501</v>
      </c>
      <c r="J39" s="982">
        <v>2557</v>
      </c>
      <c r="K39" s="958">
        <v>6273</v>
      </c>
      <c r="L39" s="958">
        <v>6227</v>
      </c>
      <c r="M39" s="1002">
        <v>58697</v>
      </c>
      <c r="N39" s="958">
        <v>38947</v>
      </c>
      <c r="O39" s="958">
        <v>90352</v>
      </c>
      <c r="P39" s="983">
        <v>82264</v>
      </c>
      <c r="Q39" s="984">
        <v>1260465</v>
      </c>
      <c r="R39" s="984">
        <v>125.93</v>
      </c>
      <c r="S39" s="958">
        <v>35985</v>
      </c>
      <c r="T39" s="958">
        <v>36099</v>
      </c>
      <c r="U39" s="1002">
        <v>3372.69</v>
      </c>
      <c r="V39" s="982">
        <v>19002.1</v>
      </c>
      <c r="W39" s="958">
        <v>47864</v>
      </c>
      <c r="X39" s="958">
        <v>46985</v>
      </c>
      <c r="Y39" s="1002">
        <v>335982.5</v>
      </c>
      <c r="Z39" s="982">
        <v>2116.96</v>
      </c>
      <c r="AA39" s="958">
        <v>6262</v>
      </c>
      <c r="AB39" s="958">
        <v>6211</v>
      </c>
      <c r="AC39" s="1002">
        <v>16193.68</v>
      </c>
      <c r="AD39" s="982">
        <v>79.1</v>
      </c>
      <c r="AE39" s="958">
        <v>19998</v>
      </c>
      <c r="AF39" s="958">
        <v>18630</v>
      </c>
      <c r="AG39" s="1002">
        <v>2507.4</v>
      </c>
      <c r="AH39" s="982">
        <v>15098.91</v>
      </c>
      <c r="AI39" s="958">
        <v>43262</v>
      </c>
      <c r="AJ39" s="958">
        <v>42650</v>
      </c>
      <c r="AK39" s="1002">
        <v>384856.33</v>
      </c>
      <c r="AL39" s="982">
        <v>6361</v>
      </c>
      <c r="AM39" s="958">
        <v>17102</v>
      </c>
      <c r="AN39" s="958">
        <v>16160</v>
      </c>
      <c r="AO39" s="1002">
        <v>87805</v>
      </c>
      <c r="AP39" s="982">
        <v>128310.94</v>
      </c>
      <c r="AQ39" s="958">
        <v>326089</v>
      </c>
      <c r="AR39" s="958">
        <v>328358</v>
      </c>
      <c r="AS39" s="1002">
        <v>5587868.58</v>
      </c>
      <c r="AT39" s="982">
        <v>73612.3</v>
      </c>
      <c r="AU39" s="958">
        <v>182755</v>
      </c>
      <c r="AV39" s="958">
        <v>178513</v>
      </c>
      <c r="AW39" s="1002">
        <v>5057013</v>
      </c>
      <c r="AX39" s="982">
        <v>43.46</v>
      </c>
      <c r="AY39" s="958">
        <v>12690</v>
      </c>
      <c r="AZ39" s="958">
        <v>11229</v>
      </c>
      <c r="BA39" s="1002">
        <v>690</v>
      </c>
      <c r="BB39" s="982"/>
      <c r="BC39" s="958"/>
      <c r="BD39" s="958"/>
      <c r="BE39" s="1002"/>
      <c r="BF39" s="982">
        <v>36577.98</v>
      </c>
      <c r="BG39" s="958">
        <v>106029</v>
      </c>
      <c r="BH39" s="958">
        <v>107981</v>
      </c>
      <c r="BI39" s="1002">
        <v>1230457.31</v>
      </c>
      <c r="BJ39" s="982">
        <v>652.05</v>
      </c>
      <c r="BK39" s="958">
        <v>158108</v>
      </c>
      <c r="BL39" s="958">
        <v>149929</v>
      </c>
      <c r="BM39" s="1002">
        <v>42816.77</v>
      </c>
      <c r="BN39" s="982"/>
      <c r="BO39" s="958"/>
      <c r="BP39" s="958"/>
      <c r="BQ39" s="1002"/>
      <c r="BR39" s="982">
        <v>22777</v>
      </c>
      <c r="BS39" s="958">
        <v>68933</v>
      </c>
      <c r="BT39" s="958">
        <v>65096</v>
      </c>
      <c r="BU39" s="1002">
        <v>383287</v>
      </c>
      <c r="BV39" s="982"/>
      <c r="BW39" s="958"/>
      <c r="BX39" s="958"/>
      <c r="BY39" s="1002"/>
      <c r="BZ39" s="982">
        <v>1918</v>
      </c>
      <c r="CA39" s="958">
        <v>472049</v>
      </c>
      <c r="CB39" s="958">
        <v>427049</v>
      </c>
      <c r="CC39" s="983">
        <v>31740</v>
      </c>
      <c r="CD39" s="984"/>
      <c r="CE39" s="982"/>
      <c r="CF39" s="958"/>
      <c r="CG39" s="1002"/>
      <c r="CH39" s="982">
        <v>11598.33</v>
      </c>
      <c r="CI39" s="958">
        <v>27894</v>
      </c>
      <c r="CJ39" s="958">
        <f t="shared" si="1"/>
        <v>27894</v>
      </c>
      <c r="CK39" s="1002">
        <v>148203.19</v>
      </c>
      <c r="CL39" s="982">
        <v>53091</v>
      </c>
      <c r="CM39" s="958">
        <v>136373</v>
      </c>
      <c r="CN39" s="958">
        <v>130771</v>
      </c>
      <c r="CO39" s="1002">
        <v>5370677</v>
      </c>
      <c r="CP39" s="982"/>
      <c r="CQ39" s="958"/>
      <c r="CR39" s="958"/>
      <c r="CS39" s="1002"/>
    </row>
    <row r="40" spans="1:97" ht="16.5">
      <c r="A40" s="957" t="s">
        <v>427</v>
      </c>
      <c r="B40" s="1003">
        <v>18999</v>
      </c>
      <c r="C40" s="958">
        <v>31442</v>
      </c>
      <c r="D40" s="958">
        <v>31442</v>
      </c>
      <c r="E40" s="1002">
        <v>509633</v>
      </c>
      <c r="F40" s="984">
        <v>293</v>
      </c>
      <c r="G40" s="958">
        <v>477</v>
      </c>
      <c r="H40" s="958">
        <v>319</v>
      </c>
      <c r="I40" s="1002">
        <v>39805</v>
      </c>
      <c r="J40" s="982">
        <v>1198</v>
      </c>
      <c r="K40" s="958">
        <v>1912</v>
      </c>
      <c r="L40" s="958">
        <v>1874</v>
      </c>
      <c r="M40" s="604">
        <v>21643</v>
      </c>
      <c r="N40" s="958">
        <v>24557</v>
      </c>
      <c r="O40" s="958">
        <v>41694</v>
      </c>
      <c r="P40" s="983">
        <v>37877</v>
      </c>
      <c r="Q40" s="984">
        <v>473330</v>
      </c>
      <c r="R40" s="984">
        <v>86.13</v>
      </c>
      <c r="S40" s="958">
        <v>15047</v>
      </c>
      <c r="T40" s="958">
        <v>15074</v>
      </c>
      <c r="U40" s="1002">
        <v>1647.61</v>
      </c>
      <c r="V40" s="982">
        <v>4889.5</v>
      </c>
      <c r="W40" s="958">
        <v>8765</v>
      </c>
      <c r="X40" s="958">
        <v>8567</v>
      </c>
      <c r="Y40" s="1002">
        <v>70270.2</v>
      </c>
      <c r="Z40" s="982">
        <v>783.7</v>
      </c>
      <c r="AA40" s="958">
        <v>1410</v>
      </c>
      <c r="AB40" s="958">
        <v>1399</v>
      </c>
      <c r="AC40" s="1002">
        <v>9529.79</v>
      </c>
      <c r="AD40" s="982">
        <v>50.5</v>
      </c>
      <c r="AE40" s="958">
        <v>8875</v>
      </c>
      <c r="AF40" s="958">
        <v>8191</v>
      </c>
      <c r="AG40" s="1002">
        <v>1029</v>
      </c>
      <c r="AH40" s="982">
        <v>6326.03</v>
      </c>
      <c r="AI40" s="958">
        <v>10635</v>
      </c>
      <c r="AJ40" s="958">
        <v>10525</v>
      </c>
      <c r="AK40" s="1002">
        <v>149843.67</v>
      </c>
      <c r="AL40" s="982">
        <v>2719</v>
      </c>
      <c r="AM40" s="958">
        <v>4517</v>
      </c>
      <c r="AN40" s="958">
        <v>4206</v>
      </c>
      <c r="AO40" s="1002">
        <v>34348</v>
      </c>
      <c r="AP40" s="982">
        <v>38466.69</v>
      </c>
      <c r="AQ40" s="958">
        <v>67782</v>
      </c>
      <c r="AR40" s="958">
        <v>69131</v>
      </c>
      <c r="AS40" s="1002">
        <v>1923998.67</v>
      </c>
      <c r="AT40" s="982">
        <v>26947.6</v>
      </c>
      <c r="AU40" s="958">
        <v>44954</v>
      </c>
      <c r="AV40" s="958">
        <v>44280</v>
      </c>
      <c r="AW40" s="1002">
        <v>1942822.8</v>
      </c>
      <c r="AX40" s="982">
        <v>26.27</v>
      </c>
      <c r="AY40" s="958">
        <v>5009</v>
      </c>
      <c r="AZ40" s="958">
        <v>4422</v>
      </c>
      <c r="BA40" s="1002">
        <v>326.68</v>
      </c>
      <c r="BB40" s="982"/>
      <c r="BC40" s="958"/>
      <c r="BD40" s="958"/>
      <c r="BE40" s="1002"/>
      <c r="BF40" s="982">
        <v>19896.42</v>
      </c>
      <c r="BG40" s="958">
        <v>36008</v>
      </c>
      <c r="BH40" s="958">
        <v>38598</v>
      </c>
      <c r="BI40" s="1002">
        <v>455460.31</v>
      </c>
      <c r="BJ40" s="982">
        <v>499.91</v>
      </c>
      <c r="BK40" s="958">
        <v>91009</v>
      </c>
      <c r="BL40" s="958">
        <v>86397</v>
      </c>
      <c r="BM40" s="1002">
        <v>16695.33</v>
      </c>
      <c r="BN40" s="982"/>
      <c r="BO40" s="958"/>
      <c r="BP40" s="958"/>
      <c r="BQ40" s="1002"/>
      <c r="BR40" s="982">
        <v>7488</v>
      </c>
      <c r="BS40" s="958">
        <v>13361</v>
      </c>
      <c r="BT40" s="958">
        <v>12697</v>
      </c>
      <c r="BU40" s="1002">
        <v>114164</v>
      </c>
      <c r="BV40" s="982"/>
      <c r="BW40" s="958"/>
      <c r="BX40" s="958"/>
      <c r="BY40" s="1002"/>
      <c r="BZ40" s="982">
        <v>814</v>
      </c>
      <c r="CA40" s="958">
        <v>152119</v>
      </c>
      <c r="CB40" s="958">
        <v>152119</v>
      </c>
      <c r="CC40" s="983">
        <v>9746</v>
      </c>
      <c r="CD40" s="984"/>
      <c r="CE40" s="982"/>
      <c r="CF40" s="958"/>
      <c r="CG40" s="1002"/>
      <c r="CH40" s="982">
        <v>3887.65</v>
      </c>
      <c r="CI40" s="958">
        <v>6613</v>
      </c>
      <c r="CJ40" s="958">
        <f t="shared" si="1"/>
        <v>6613</v>
      </c>
      <c r="CK40" s="1002">
        <v>45427.26</v>
      </c>
      <c r="CL40" s="982">
        <v>23624</v>
      </c>
      <c r="CM40" s="958">
        <v>41850</v>
      </c>
      <c r="CN40" s="958">
        <v>39556</v>
      </c>
      <c r="CO40" s="1002">
        <v>2377836</v>
      </c>
      <c r="CP40" s="982"/>
      <c r="CQ40" s="958"/>
      <c r="CR40" s="958"/>
      <c r="CS40" s="1002"/>
    </row>
    <row r="41" spans="1:97" ht="16.5">
      <c r="A41" s="957" t="s">
        <v>428</v>
      </c>
      <c r="B41" s="1003">
        <v>10837</v>
      </c>
      <c r="C41" s="958">
        <v>10545</v>
      </c>
      <c r="D41" s="958">
        <v>10545</v>
      </c>
      <c r="E41" s="1002">
        <v>238773</v>
      </c>
      <c r="F41" s="984">
        <v>340</v>
      </c>
      <c r="G41" s="958">
        <v>377</v>
      </c>
      <c r="H41" s="958">
        <v>230</v>
      </c>
      <c r="I41" s="1002">
        <v>21786</v>
      </c>
      <c r="J41" s="982">
        <v>2729</v>
      </c>
      <c r="K41" s="958">
        <v>2794</v>
      </c>
      <c r="L41" s="958">
        <v>2785</v>
      </c>
      <c r="M41" s="1002">
        <v>40286</v>
      </c>
      <c r="N41" s="958">
        <v>30002</v>
      </c>
      <c r="O41" s="958">
        <v>30091</v>
      </c>
      <c r="P41" s="983">
        <v>26096</v>
      </c>
      <c r="Q41" s="984">
        <v>388493</v>
      </c>
      <c r="R41" s="984">
        <v>66.47</v>
      </c>
      <c r="S41" s="958">
        <v>7111</v>
      </c>
      <c r="T41" s="958">
        <v>7217</v>
      </c>
      <c r="U41" s="1002">
        <v>968.54</v>
      </c>
      <c r="V41" s="982">
        <v>14197</v>
      </c>
      <c r="W41" s="958">
        <v>14561</v>
      </c>
      <c r="X41" s="958">
        <v>14107</v>
      </c>
      <c r="Y41" s="1002">
        <v>123784.3</v>
      </c>
      <c r="Z41" s="982">
        <v>176.86</v>
      </c>
      <c r="AA41" s="958">
        <v>199</v>
      </c>
      <c r="AB41" s="958">
        <v>198</v>
      </c>
      <c r="AC41" s="1002">
        <v>1904.3</v>
      </c>
      <c r="AD41" s="982">
        <v>65.2</v>
      </c>
      <c r="AE41" s="958">
        <v>6776</v>
      </c>
      <c r="AF41" s="958">
        <v>6222</v>
      </c>
      <c r="AG41" s="1002">
        <v>847.8</v>
      </c>
      <c r="AH41" s="982">
        <v>8127.09</v>
      </c>
      <c r="AI41" s="958">
        <v>8419</v>
      </c>
      <c r="AJ41" s="958">
        <v>8250</v>
      </c>
      <c r="AK41" s="1002">
        <v>105287.4</v>
      </c>
      <c r="AL41" s="982">
        <v>3763</v>
      </c>
      <c r="AM41" s="958">
        <v>3831</v>
      </c>
      <c r="AN41" s="958">
        <v>3476</v>
      </c>
      <c r="AO41" s="1002">
        <v>39688</v>
      </c>
      <c r="AP41" s="982">
        <v>126337.45</v>
      </c>
      <c r="AQ41" s="958">
        <v>130123</v>
      </c>
      <c r="AR41" s="958">
        <v>130450</v>
      </c>
      <c r="AS41" s="1002">
        <v>2048753.79</v>
      </c>
      <c r="AT41" s="982">
        <v>61835</v>
      </c>
      <c r="AU41" s="958">
        <v>63983</v>
      </c>
      <c r="AV41" s="958">
        <v>62826</v>
      </c>
      <c r="AW41" s="1002">
        <v>1486348</v>
      </c>
      <c r="AX41" s="982">
        <v>34.33</v>
      </c>
      <c r="AY41" s="958">
        <v>3573</v>
      </c>
      <c r="AZ41" s="958">
        <v>3040</v>
      </c>
      <c r="BA41" s="1002">
        <v>392.75</v>
      </c>
      <c r="BB41" s="982"/>
      <c r="BC41" s="958"/>
      <c r="BD41" s="958"/>
      <c r="BE41" s="1002"/>
      <c r="BF41" s="982">
        <v>22353.76</v>
      </c>
      <c r="BG41" s="958">
        <v>23185</v>
      </c>
      <c r="BH41" s="958">
        <v>23782</v>
      </c>
      <c r="BI41" s="1002">
        <v>325347.12</v>
      </c>
      <c r="BJ41" s="982">
        <v>789.84</v>
      </c>
      <c r="BK41" s="958">
        <v>81054</v>
      </c>
      <c r="BL41" s="958">
        <v>76200</v>
      </c>
      <c r="BM41" s="1002">
        <v>10940.98</v>
      </c>
      <c r="BN41" s="982"/>
      <c r="BO41" s="958"/>
      <c r="BP41" s="958"/>
      <c r="BQ41" s="1002"/>
      <c r="BR41" s="982">
        <v>8274</v>
      </c>
      <c r="BS41" s="958">
        <v>8950</v>
      </c>
      <c r="BT41" s="958">
        <v>8189</v>
      </c>
      <c r="BU41" s="1002">
        <v>114921</v>
      </c>
      <c r="BV41" s="982"/>
      <c r="BW41" s="958"/>
      <c r="BX41" s="958"/>
      <c r="BY41" s="1002"/>
      <c r="BZ41" s="982">
        <v>1434</v>
      </c>
      <c r="CA41" s="958">
        <v>146963</v>
      </c>
      <c r="CB41" s="958">
        <v>146963</v>
      </c>
      <c r="CC41" s="983">
        <v>9217</v>
      </c>
      <c r="CD41" s="984"/>
      <c r="CE41" s="982"/>
      <c r="CF41" s="958"/>
      <c r="CG41" s="1002"/>
      <c r="CH41" s="982">
        <v>20587.67</v>
      </c>
      <c r="CI41" s="958">
        <v>20715</v>
      </c>
      <c r="CJ41" s="958">
        <f t="shared" si="1"/>
        <v>20715</v>
      </c>
      <c r="CK41" s="1002">
        <v>205450.26</v>
      </c>
      <c r="CL41" s="982">
        <v>41641</v>
      </c>
      <c r="CM41" s="958">
        <v>43749</v>
      </c>
      <c r="CN41" s="958">
        <v>41274</v>
      </c>
      <c r="CO41" s="1002">
        <v>1525983</v>
      </c>
      <c r="CP41" s="982"/>
      <c r="CQ41" s="958"/>
      <c r="CR41" s="958"/>
      <c r="CS41" s="1002"/>
    </row>
    <row r="42" spans="1:97" ht="16.5">
      <c r="A42" s="957" t="s">
        <v>429</v>
      </c>
      <c r="B42" s="1003">
        <v>20995</v>
      </c>
      <c r="C42" s="958">
        <v>18286</v>
      </c>
      <c r="D42" s="958">
        <v>18286</v>
      </c>
      <c r="E42" s="1002">
        <v>342303</v>
      </c>
      <c r="F42" s="984">
        <v>113</v>
      </c>
      <c r="G42" s="958">
        <v>93</v>
      </c>
      <c r="H42" s="958">
        <v>62</v>
      </c>
      <c r="I42" s="1002">
        <v>10486</v>
      </c>
      <c r="J42" s="982">
        <v>516</v>
      </c>
      <c r="K42" s="958">
        <v>434</v>
      </c>
      <c r="L42" s="958">
        <v>428</v>
      </c>
      <c r="M42" s="1002">
        <v>7483</v>
      </c>
      <c r="N42" s="958">
        <v>17928</v>
      </c>
      <c r="O42" s="958">
        <v>16850</v>
      </c>
      <c r="P42" s="983">
        <v>15153</v>
      </c>
      <c r="Q42" s="984">
        <v>216202</v>
      </c>
      <c r="R42" s="984">
        <v>52.41</v>
      </c>
      <c r="S42" s="958">
        <v>4956</v>
      </c>
      <c r="T42" s="958">
        <v>4946</v>
      </c>
      <c r="U42" s="1002">
        <v>801.2</v>
      </c>
      <c r="V42" s="982">
        <v>3983.9</v>
      </c>
      <c r="W42" s="958">
        <v>3828</v>
      </c>
      <c r="X42" s="958">
        <v>3689</v>
      </c>
      <c r="Y42" s="1002">
        <v>39616</v>
      </c>
      <c r="Z42" s="982">
        <v>60.67</v>
      </c>
      <c r="AA42" s="958">
        <v>55</v>
      </c>
      <c r="AB42" s="958">
        <v>54</v>
      </c>
      <c r="AC42" s="1002">
        <v>760.79</v>
      </c>
      <c r="AD42" s="982">
        <v>28.8</v>
      </c>
      <c r="AE42" s="958">
        <v>2590</v>
      </c>
      <c r="AF42" s="958">
        <v>2399</v>
      </c>
      <c r="AG42" s="1002">
        <v>493.1</v>
      </c>
      <c r="AH42" s="982">
        <v>3350.69</v>
      </c>
      <c r="AI42" s="958">
        <v>2951</v>
      </c>
      <c r="AJ42" s="958">
        <v>2917</v>
      </c>
      <c r="AK42" s="1002">
        <v>57583.96</v>
      </c>
      <c r="AL42" s="982">
        <v>1209</v>
      </c>
      <c r="AM42" s="958">
        <v>1089</v>
      </c>
      <c r="AN42" s="958">
        <v>1004</v>
      </c>
      <c r="AO42" s="1002">
        <v>12431</v>
      </c>
      <c r="AP42" s="982">
        <v>23039.83</v>
      </c>
      <c r="AQ42" s="958">
        <v>21551</v>
      </c>
      <c r="AR42" s="958">
        <v>21979</v>
      </c>
      <c r="AS42" s="1002">
        <v>649195.96</v>
      </c>
      <c r="AT42" s="982">
        <v>33849.9</v>
      </c>
      <c r="AU42" s="958">
        <v>30019</v>
      </c>
      <c r="AV42" s="958">
        <v>29606</v>
      </c>
      <c r="AW42" s="1002">
        <v>985479.7</v>
      </c>
      <c r="AX42" s="982">
        <v>24.7</v>
      </c>
      <c r="AY42" s="958">
        <v>2445</v>
      </c>
      <c r="AZ42" s="958">
        <v>2182</v>
      </c>
      <c r="BA42" s="1002">
        <v>276.78</v>
      </c>
      <c r="BB42" s="982"/>
      <c r="BC42" s="958"/>
      <c r="BD42" s="958"/>
      <c r="BE42" s="1002"/>
      <c r="BF42" s="982">
        <v>17597.14</v>
      </c>
      <c r="BG42" s="958">
        <v>16572</v>
      </c>
      <c r="BH42" s="958">
        <v>18057</v>
      </c>
      <c r="BI42" s="1002">
        <v>275844.64</v>
      </c>
      <c r="BJ42" s="982">
        <v>343.94</v>
      </c>
      <c r="BK42" s="958">
        <v>34096</v>
      </c>
      <c r="BL42" s="958">
        <v>32295</v>
      </c>
      <c r="BM42" s="1002">
        <v>6779.26</v>
      </c>
      <c r="BN42" s="982"/>
      <c r="BO42" s="958"/>
      <c r="BP42" s="958"/>
      <c r="BQ42" s="1002"/>
      <c r="BR42" s="982">
        <v>5564</v>
      </c>
      <c r="BS42" s="958">
        <v>5018</v>
      </c>
      <c r="BT42" s="958">
        <v>4507</v>
      </c>
      <c r="BU42" s="1002">
        <v>88349</v>
      </c>
      <c r="BV42" s="982"/>
      <c r="BW42" s="958"/>
      <c r="BX42" s="958"/>
      <c r="BY42" s="1002"/>
      <c r="BZ42" s="982">
        <v>503</v>
      </c>
      <c r="CA42" s="958">
        <v>48901</v>
      </c>
      <c r="CB42" s="958">
        <v>48901</v>
      </c>
      <c r="CC42" s="983">
        <v>4623</v>
      </c>
      <c r="CD42" s="984"/>
      <c r="CE42" s="982"/>
      <c r="CF42" s="958"/>
      <c r="CG42" s="1002"/>
      <c r="CH42" s="982">
        <v>1351.66</v>
      </c>
      <c r="CI42" s="958">
        <v>1206</v>
      </c>
      <c r="CJ42" s="958">
        <f t="shared" si="1"/>
        <v>1206</v>
      </c>
      <c r="CK42" s="1002">
        <v>15463.03</v>
      </c>
      <c r="CL42" s="982">
        <v>17005</v>
      </c>
      <c r="CM42" s="958">
        <v>16318</v>
      </c>
      <c r="CN42" s="958">
        <v>15579</v>
      </c>
      <c r="CO42" s="1002">
        <v>939835</v>
      </c>
      <c r="CP42" s="982"/>
      <c r="CQ42" s="958"/>
      <c r="CR42" s="958"/>
      <c r="CS42" s="1002"/>
    </row>
    <row r="43" spans="1:97" ht="16.5">
      <c r="A43" s="957" t="s">
        <v>430</v>
      </c>
      <c r="B43" s="1003">
        <v>82559</v>
      </c>
      <c r="C43" s="958">
        <v>21922</v>
      </c>
      <c r="D43" s="958">
        <v>21922</v>
      </c>
      <c r="E43" s="1002">
        <v>1189126</v>
      </c>
      <c r="F43" s="984">
        <v>544</v>
      </c>
      <c r="G43" s="958">
        <v>207</v>
      </c>
      <c r="H43" s="958">
        <v>141</v>
      </c>
      <c r="I43" s="1002">
        <v>23178</v>
      </c>
      <c r="J43" s="982">
        <v>6848</v>
      </c>
      <c r="K43" s="958">
        <v>2131</v>
      </c>
      <c r="L43" s="958">
        <v>2125</v>
      </c>
      <c r="M43" s="1002">
        <v>88670</v>
      </c>
      <c r="N43" s="958">
        <v>94849</v>
      </c>
      <c r="O43" s="958">
        <v>32276</v>
      </c>
      <c r="P43" s="983">
        <v>26136</v>
      </c>
      <c r="Q43" s="984">
        <v>1028226</v>
      </c>
      <c r="R43" s="984">
        <v>155.1</v>
      </c>
      <c r="S43" s="958">
        <v>4932</v>
      </c>
      <c r="T43" s="958">
        <v>4985</v>
      </c>
      <c r="U43" s="1002">
        <v>1888.01</v>
      </c>
      <c r="V43" s="982">
        <v>45535</v>
      </c>
      <c r="W43" s="958">
        <v>15791</v>
      </c>
      <c r="X43" s="958">
        <v>15089</v>
      </c>
      <c r="Y43" s="1002">
        <v>433987.9</v>
      </c>
      <c r="Z43" s="982">
        <v>327.66</v>
      </c>
      <c r="AA43" s="958">
        <v>95</v>
      </c>
      <c r="AB43" s="958">
        <v>89</v>
      </c>
      <c r="AC43" s="1002">
        <v>3445.32</v>
      </c>
      <c r="AD43" s="982">
        <v>133.3</v>
      </c>
      <c r="AE43" s="958">
        <v>4861</v>
      </c>
      <c r="AF43" s="958">
        <v>4277</v>
      </c>
      <c r="AG43" s="1002">
        <v>1680.3</v>
      </c>
      <c r="AH43" s="982">
        <v>12769.66</v>
      </c>
      <c r="AI43" s="958">
        <v>5404</v>
      </c>
      <c r="AJ43" s="958">
        <v>5168</v>
      </c>
      <c r="AK43" s="1002">
        <v>141547.22</v>
      </c>
      <c r="AL43" s="982">
        <v>16953</v>
      </c>
      <c r="AM43" s="958">
        <v>4069</v>
      </c>
      <c r="AN43" s="958">
        <v>3448</v>
      </c>
      <c r="AO43" s="1002">
        <v>143311</v>
      </c>
      <c r="AP43" s="982">
        <v>300701.69</v>
      </c>
      <c r="AQ43" s="958">
        <v>93003</v>
      </c>
      <c r="AR43" s="958">
        <v>93359</v>
      </c>
      <c r="AS43" s="1002">
        <v>4510573.79</v>
      </c>
      <c r="AT43" s="982">
        <v>296999.1</v>
      </c>
      <c r="AU43" s="958">
        <v>100363</v>
      </c>
      <c r="AV43" s="958">
        <v>96131</v>
      </c>
      <c r="AW43" s="1002">
        <v>4593962.2</v>
      </c>
      <c r="AX43" s="982">
        <v>130.38</v>
      </c>
      <c r="AY43" s="958">
        <v>4884</v>
      </c>
      <c r="AZ43" s="958">
        <v>4492</v>
      </c>
      <c r="BA43" s="1002">
        <v>1425.46</v>
      </c>
      <c r="BB43" s="982"/>
      <c r="BC43" s="958"/>
      <c r="BD43" s="958"/>
      <c r="BE43" s="1002"/>
      <c r="BF43" s="982">
        <v>59091.28</v>
      </c>
      <c r="BG43" s="958">
        <v>22828</v>
      </c>
      <c r="BH43" s="958">
        <v>22417</v>
      </c>
      <c r="BI43" s="1002">
        <v>764977.58</v>
      </c>
      <c r="BJ43" s="982">
        <v>2124.02</v>
      </c>
      <c r="BK43" s="958">
        <v>79256</v>
      </c>
      <c r="BL43" s="958">
        <v>72635</v>
      </c>
      <c r="BM43" s="1002">
        <v>24853.2</v>
      </c>
      <c r="BN43" s="982"/>
      <c r="BO43" s="958"/>
      <c r="BP43" s="958"/>
      <c r="BQ43" s="1002"/>
      <c r="BR43" s="982">
        <v>31940</v>
      </c>
      <c r="BS43" s="958">
        <v>13083</v>
      </c>
      <c r="BT43" s="958">
        <v>10859</v>
      </c>
      <c r="BU43" s="1002">
        <v>447421</v>
      </c>
      <c r="BV43" s="982"/>
      <c r="BW43" s="958"/>
      <c r="BX43" s="958"/>
      <c r="BY43" s="1002"/>
      <c r="BZ43" s="982">
        <v>4483</v>
      </c>
      <c r="CA43" s="958">
        <v>160246</v>
      </c>
      <c r="CB43" s="958">
        <v>160246</v>
      </c>
      <c r="CC43" s="983">
        <v>24633</v>
      </c>
      <c r="CD43" s="984"/>
      <c r="CE43" s="982"/>
      <c r="CF43" s="958"/>
      <c r="CG43" s="1002"/>
      <c r="CH43" s="982">
        <v>26320.86</v>
      </c>
      <c r="CI43" s="958">
        <v>11289</v>
      </c>
      <c r="CJ43" s="958">
        <f t="shared" si="1"/>
        <v>11289</v>
      </c>
      <c r="CK43" s="1002">
        <v>270696.72</v>
      </c>
      <c r="CL43" s="982">
        <v>175253</v>
      </c>
      <c r="CM43" s="958">
        <v>55006</v>
      </c>
      <c r="CN43" s="958">
        <v>50264</v>
      </c>
      <c r="CO43" s="1002">
        <v>4442052</v>
      </c>
      <c r="CP43" s="982"/>
      <c r="CQ43" s="958"/>
      <c r="CR43" s="958"/>
      <c r="CS43" s="1002"/>
    </row>
    <row r="44" spans="1:97" ht="16.5">
      <c r="A44" s="956" t="s">
        <v>442</v>
      </c>
      <c r="B44" s="984"/>
      <c r="C44" s="958"/>
      <c r="D44" s="958"/>
      <c r="E44" s="1002"/>
      <c r="F44" s="984"/>
      <c r="G44" s="958"/>
      <c r="H44" s="958"/>
      <c r="I44" s="1002"/>
      <c r="J44" s="982"/>
      <c r="K44" s="958"/>
      <c r="L44" s="958"/>
      <c r="M44" s="1002"/>
      <c r="N44" s="982"/>
      <c r="O44" s="958"/>
      <c r="P44" s="958"/>
      <c r="Q44" s="983"/>
      <c r="R44" s="984"/>
      <c r="S44" s="958"/>
      <c r="T44" s="958"/>
      <c r="U44" s="1002"/>
      <c r="V44" s="982"/>
      <c r="W44" s="958"/>
      <c r="X44" s="958"/>
      <c r="Y44" s="1002"/>
      <c r="Z44" s="982"/>
      <c r="AA44" s="958"/>
      <c r="AB44" s="958"/>
      <c r="AC44" s="1002"/>
      <c r="AD44" s="982"/>
      <c r="AE44" s="958"/>
      <c r="AF44" s="958"/>
      <c r="AG44" s="1002"/>
      <c r="AH44" s="982"/>
      <c r="AI44" s="958"/>
      <c r="AJ44" s="958"/>
      <c r="AK44" s="1002"/>
      <c r="AL44" s="982"/>
      <c r="AM44" s="958"/>
      <c r="AN44" s="958"/>
      <c r="AO44" s="1002"/>
      <c r="AP44" s="982"/>
      <c r="AQ44" s="958"/>
      <c r="AR44" s="958"/>
      <c r="AS44" s="1002"/>
      <c r="AT44" s="982"/>
      <c r="AU44" s="958"/>
      <c r="AV44" s="958"/>
      <c r="AW44" s="1002"/>
      <c r="AX44" s="982"/>
      <c r="AY44" s="958"/>
      <c r="AZ44" s="958"/>
      <c r="BA44" s="1002"/>
      <c r="BB44" s="982"/>
      <c r="BC44" s="958"/>
      <c r="BD44" s="958"/>
      <c r="BE44" s="1002"/>
      <c r="BF44" s="982"/>
      <c r="BG44" s="958"/>
      <c r="BH44" s="958"/>
      <c r="BI44" s="1002"/>
      <c r="BJ44" s="982"/>
      <c r="BK44" s="958"/>
      <c r="BL44" s="958"/>
      <c r="BM44" s="1002"/>
      <c r="BN44" s="982"/>
      <c r="BO44" s="958"/>
      <c r="BP44" s="958"/>
      <c r="BQ44" s="1002"/>
      <c r="BR44" s="982"/>
      <c r="BS44" s="958"/>
      <c r="BT44" s="958"/>
      <c r="BU44" s="1002"/>
      <c r="BV44" s="982"/>
      <c r="BW44" s="958"/>
      <c r="BX44" s="958"/>
      <c r="BY44" s="1002"/>
      <c r="BZ44" s="982"/>
      <c r="CA44" s="958"/>
      <c r="CB44" s="958"/>
      <c r="CC44" s="983"/>
      <c r="CD44" s="984"/>
      <c r="CE44" s="958"/>
      <c r="CF44" s="958"/>
      <c r="CG44" s="1002"/>
      <c r="CH44" s="982"/>
      <c r="CI44" s="958"/>
      <c r="CJ44" s="958"/>
      <c r="CK44" s="1002"/>
      <c r="CL44" s="982"/>
      <c r="CM44" s="958"/>
      <c r="CN44" s="958"/>
      <c r="CO44" s="1002"/>
      <c r="CP44" s="982"/>
      <c r="CQ44" s="958"/>
      <c r="CR44" s="958"/>
      <c r="CS44" s="1002"/>
    </row>
    <row r="45" spans="1:97" ht="16.5">
      <c r="A45" s="957" t="s">
        <v>432</v>
      </c>
      <c r="B45" s="1005"/>
      <c r="C45" s="958"/>
      <c r="D45" s="1006"/>
      <c r="E45" s="1002"/>
      <c r="F45" s="984"/>
      <c r="G45" s="958"/>
      <c r="H45" s="958"/>
      <c r="I45" s="1002"/>
      <c r="J45" s="982"/>
      <c r="K45" s="958"/>
      <c r="L45" s="958"/>
      <c r="M45" s="1002"/>
      <c r="N45" s="982"/>
      <c r="O45" s="958"/>
      <c r="P45" s="958"/>
      <c r="Q45" s="983"/>
      <c r="R45" s="984"/>
      <c r="S45" s="958"/>
      <c r="T45" s="958"/>
      <c r="U45" s="1002"/>
      <c r="V45" s="982"/>
      <c r="W45" s="958"/>
      <c r="X45" s="958"/>
      <c r="Y45" s="1002"/>
      <c r="Z45" s="982"/>
      <c r="AA45" s="958"/>
      <c r="AB45" s="958"/>
      <c r="AC45" s="1002"/>
      <c r="AD45" s="982"/>
      <c r="AE45" s="958"/>
      <c r="AF45" s="958"/>
      <c r="AG45" s="1002"/>
      <c r="AH45" s="982">
        <v>-6.74</v>
      </c>
      <c r="AI45" s="958">
        <v>-3</v>
      </c>
      <c r="AJ45" s="958">
        <v>-3</v>
      </c>
      <c r="AK45" s="1002"/>
      <c r="AL45" s="982"/>
      <c r="AM45" s="958"/>
      <c r="AN45" s="958"/>
      <c r="AO45" s="1002"/>
      <c r="AP45" s="982"/>
      <c r="AQ45" s="958"/>
      <c r="AR45" s="958"/>
      <c r="AS45" s="1002"/>
      <c r="AT45" s="982"/>
      <c r="AU45" s="958"/>
      <c r="AV45" s="958"/>
      <c r="AW45" s="1002"/>
      <c r="AX45" s="982"/>
      <c r="AY45" s="958"/>
      <c r="AZ45" s="958"/>
      <c r="BA45" s="1002"/>
      <c r="BB45" s="982">
        <v>2231.38</v>
      </c>
      <c r="BC45" s="958">
        <v>52878</v>
      </c>
      <c r="BD45" s="958">
        <f>BC45</f>
        <v>52878</v>
      </c>
      <c r="BE45" s="1002">
        <v>713686.51</v>
      </c>
      <c r="BF45" s="982">
        <v>71.54</v>
      </c>
      <c r="BG45" s="958">
        <v>204</v>
      </c>
      <c r="BH45" s="958">
        <v>204</v>
      </c>
      <c r="BI45" s="1002">
        <v>1141.95</v>
      </c>
      <c r="BJ45" s="982">
        <v>0.94</v>
      </c>
      <c r="BK45" s="958">
        <v>253</v>
      </c>
      <c r="BL45" s="958">
        <v>224</v>
      </c>
      <c r="BM45" s="1002">
        <v>1.99</v>
      </c>
      <c r="BN45" s="982"/>
      <c r="BO45" s="958"/>
      <c r="BP45" s="958"/>
      <c r="BQ45" s="1002"/>
      <c r="BR45" s="982"/>
      <c r="BS45" s="958"/>
      <c r="BT45" s="958"/>
      <c r="BU45" s="1002"/>
      <c r="BV45" s="982"/>
      <c r="BW45" s="958"/>
      <c r="BX45" s="958"/>
      <c r="BY45" s="1002"/>
      <c r="BZ45" s="982"/>
      <c r="CA45" s="958"/>
      <c r="CB45" s="958"/>
      <c r="CC45" s="983"/>
      <c r="CD45" s="984"/>
      <c r="CE45" s="958"/>
      <c r="CF45" s="1002"/>
      <c r="CG45" s="1002"/>
      <c r="CH45" s="982"/>
      <c r="CI45" s="958"/>
      <c r="CJ45" s="958"/>
      <c r="CK45" s="1002"/>
      <c r="CL45" s="982"/>
      <c r="CM45" s="958"/>
      <c r="CN45" s="958"/>
      <c r="CO45" s="1002"/>
      <c r="CP45" s="982"/>
      <c r="CQ45" s="958"/>
      <c r="CR45" s="958"/>
      <c r="CS45" s="1002"/>
    </row>
    <row r="46" spans="1:97" ht="16.5">
      <c r="A46" s="957" t="s">
        <v>433</v>
      </c>
      <c r="B46" s="1005"/>
      <c r="C46" s="958"/>
      <c r="D46" s="1006"/>
      <c r="E46" s="1002"/>
      <c r="F46" s="984"/>
      <c r="G46" s="958"/>
      <c r="H46" s="958"/>
      <c r="I46" s="1002"/>
      <c r="J46" s="982"/>
      <c r="K46" s="958"/>
      <c r="L46" s="958"/>
      <c r="M46" s="1002"/>
      <c r="N46" s="982"/>
      <c r="O46" s="958"/>
      <c r="P46" s="958"/>
      <c r="Q46" s="983"/>
      <c r="R46" s="984"/>
      <c r="S46" s="958"/>
      <c r="T46" s="958"/>
      <c r="U46" s="1002"/>
      <c r="V46" s="982"/>
      <c r="W46" s="958"/>
      <c r="X46" s="958"/>
      <c r="Y46" s="1002"/>
      <c r="Z46" s="982"/>
      <c r="AA46" s="958"/>
      <c r="AB46" s="958"/>
      <c r="AC46" s="1002"/>
      <c r="AD46" s="982"/>
      <c r="AE46" s="958"/>
      <c r="AF46" s="958"/>
      <c r="AG46" s="1002"/>
      <c r="AH46" s="982">
        <v>-2.55</v>
      </c>
      <c r="AI46" s="958">
        <v>-1</v>
      </c>
      <c r="AJ46" s="958">
        <v>-1</v>
      </c>
      <c r="AK46" s="1002"/>
      <c r="AL46" s="982"/>
      <c r="AM46" s="958"/>
      <c r="AN46" s="958"/>
      <c r="AO46" s="1002"/>
      <c r="AP46" s="982"/>
      <c r="AQ46" s="958"/>
      <c r="AR46" s="958"/>
      <c r="AS46" s="1002"/>
      <c r="AT46" s="982"/>
      <c r="AU46" s="958"/>
      <c r="AV46" s="958"/>
      <c r="AW46" s="1002"/>
      <c r="AX46" s="982"/>
      <c r="AY46" s="958"/>
      <c r="AZ46" s="958"/>
      <c r="BA46" s="1002"/>
      <c r="BB46" s="982">
        <v>10289.42</v>
      </c>
      <c r="BC46" s="958">
        <v>59393</v>
      </c>
      <c r="BD46" s="958">
        <f aca="true" t="shared" si="2" ref="BD46:BD51">BC46</f>
        <v>59393</v>
      </c>
      <c r="BE46" s="1002">
        <v>314757.11</v>
      </c>
      <c r="BF46" s="982">
        <v>179.71</v>
      </c>
      <c r="BG46" s="958">
        <v>258</v>
      </c>
      <c r="BH46" s="958">
        <v>253</v>
      </c>
      <c r="BI46" s="1002">
        <v>2655.23</v>
      </c>
      <c r="BJ46" s="982">
        <v>4.46</v>
      </c>
      <c r="BK46" s="958">
        <v>523</v>
      </c>
      <c r="BL46" s="958">
        <v>490</v>
      </c>
      <c r="BM46" s="1002">
        <v>9.07</v>
      </c>
      <c r="BN46" s="982"/>
      <c r="BO46" s="958"/>
      <c r="BP46" s="958"/>
      <c r="BQ46" s="1002"/>
      <c r="BR46" s="982"/>
      <c r="BS46" s="958"/>
      <c r="BT46" s="958"/>
      <c r="BU46" s="1002"/>
      <c r="BV46" s="982"/>
      <c r="BW46" s="958"/>
      <c r="BX46" s="958"/>
      <c r="BY46" s="1002"/>
      <c r="BZ46" s="982"/>
      <c r="CA46" s="958"/>
      <c r="CB46" s="958"/>
      <c r="CC46" s="983"/>
      <c r="CD46" s="984"/>
      <c r="CE46" s="958"/>
      <c r="CF46" s="1002"/>
      <c r="CG46" s="1002"/>
      <c r="CH46" s="982"/>
      <c r="CI46" s="958"/>
      <c r="CJ46" s="958"/>
      <c r="CK46" s="1002"/>
      <c r="CL46" s="982"/>
      <c r="CM46" s="958"/>
      <c r="CN46" s="958"/>
      <c r="CO46" s="1002"/>
      <c r="CP46" s="982"/>
      <c r="CQ46" s="958"/>
      <c r="CR46" s="958"/>
      <c r="CS46" s="1002"/>
    </row>
    <row r="47" spans="1:97" ht="16.5">
      <c r="A47" s="957" t="s">
        <v>434</v>
      </c>
      <c r="B47" s="1005"/>
      <c r="C47" s="958"/>
      <c r="D47" s="1006"/>
      <c r="E47" s="1002"/>
      <c r="F47" s="984"/>
      <c r="G47" s="958"/>
      <c r="H47" s="958"/>
      <c r="I47" s="1002"/>
      <c r="J47" s="982"/>
      <c r="K47" s="958"/>
      <c r="L47" s="958"/>
      <c r="M47" s="1002"/>
      <c r="N47" s="982"/>
      <c r="O47" s="958"/>
      <c r="P47" s="958"/>
      <c r="Q47" s="983"/>
      <c r="R47" s="984"/>
      <c r="S47" s="958"/>
      <c r="T47" s="958"/>
      <c r="U47" s="1002"/>
      <c r="V47" s="982"/>
      <c r="W47" s="958"/>
      <c r="X47" s="958"/>
      <c r="Y47" s="1002"/>
      <c r="Z47" s="982"/>
      <c r="AA47" s="958"/>
      <c r="AB47" s="958"/>
      <c r="AC47" s="1002"/>
      <c r="AD47" s="982"/>
      <c r="AE47" s="958"/>
      <c r="AF47" s="958"/>
      <c r="AG47" s="1002"/>
      <c r="AH47" s="982">
        <v>-0.25</v>
      </c>
      <c r="AI47" s="958"/>
      <c r="AJ47" s="958"/>
      <c r="AK47" s="1002"/>
      <c r="AL47" s="982"/>
      <c r="AM47" s="958"/>
      <c r="AN47" s="958"/>
      <c r="AO47" s="1002"/>
      <c r="AP47" s="982"/>
      <c r="AQ47" s="958"/>
      <c r="AR47" s="958"/>
      <c r="AS47" s="1002"/>
      <c r="AT47" s="982"/>
      <c r="AU47" s="958"/>
      <c r="AV47" s="958"/>
      <c r="AW47" s="1002"/>
      <c r="AX47" s="982"/>
      <c r="AY47" s="958"/>
      <c r="AZ47" s="958"/>
      <c r="BA47" s="1002"/>
      <c r="BB47" s="982">
        <v>17518.6</v>
      </c>
      <c r="BC47" s="958">
        <v>41839</v>
      </c>
      <c r="BD47" s="958">
        <f t="shared" si="2"/>
        <v>41839</v>
      </c>
      <c r="BE47" s="1002">
        <v>229077.63</v>
      </c>
      <c r="BF47" s="982">
        <v>159.23</v>
      </c>
      <c r="BG47" s="958">
        <v>145</v>
      </c>
      <c r="BH47" s="958">
        <v>147</v>
      </c>
      <c r="BI47" s="1002">
        <v>2473.72</v>
      </c>
      <c r="BJ47" s="982">
        <v>2.56</v>
      </c>
      <c r="BK47" s="958">
        <v>188</v>
      </c>
      <c r="BL47" s="958">
        <v>172</v>
      </c>
      <c r="BM47" s="1002">
        <v>5.1</v>
      </c>
      <c r="BN47" s="982"/>
      <c r="BO47" s="958"/>
      <c r="BP47" s="958"/>
      <c r="BQ47" s="1002"/>
      <c r="BR47" s="982"/>
      <c r="BS47" s="958"/>
      <c r="BT47" s="958"/>
      <c r="BU47" s="1002"/>
      <c r="BV47" s="982"/>
      <c r="BW47" s="958"/>
      <c r="BX47" s="958"/>
      <c r="BY47" s="1002"/>
      <c r="BZ47" s="982"/>
      <c r="CA47" s="958"/>
      <c r="CB47" s="958"/>
      <c r="CC47" s="983"/>
      <c r="CD47" s="984"/>
      <c r="CE47" s="958"/>
      <c r="CF47" s="1002"/>
      <c r="CG47" s="1002"/>
      <c r="CH47" s="982"/>
      <c r="CI47" s="958"/>
      <c r="CJ47" s="958"/>
      <c r="CK47" s="1002"/>
      <c r="CL47" s="982"/>
      <c r="CM47" s="958"/>
      <c r="CN47" s="958"/>
      <c r="CO47" s="1002"/>
      <c r="CP47" s="982"/>
      <c r="CQ47" s="958"/>
      <c r="CR47" s="958"/>
      <c r="CS47" s="1002"/>
    </row>
    <row r="48" spans="1:97" ht="16.5">
      <c r="A48" s="957" t="s">
        <v>435</v>
      </c>
      <c r="B48" s="1005"/>
      <c r="C48" s="958"/>
      <c r="D48" s="1006"/>
      <c r="E48" s="1002"/>
      <c r="F48" s="984"/>
      <c r="G48" s="958"/>
      <c r="H48" s="958"/>
      <c r="I48" s="1002"/>
      <c r="J48" s="982"/>
      <c r="K48" s="958"/>
      <c r="L48" s="958"/>
      <c r="M48" s="1002"/>
      <c r="N48" s="982"/>
      <c r="O48" s="958"/>
      <c r="P48" s="958"/>
      <c r="Q48" s="983"/>
      <c r="R48" s="984"/>
      <c r="S48" s="958"/>
      <c r="T48" s="958"/>
      <c r="U48" s="1002"/>
      <c r="V48" s="982"/>
      <c r="W48" s="958"/>
      <c r="X48" s="958"/>
      <c r="Y48" s="1002"/>
      <c r="Z48" s="982"/>
      <c r="AA48" s="958"/>
      <c r="AB48" s="958"/>
      <c r="AC48" s="1002"/>
      <c r="AD48" s="982"/>
      <c r="AE48" s="958"/>
      <c r="AF48" s="958"/>
      <c r="AG48" s="1002"/>
      <c r="AH48" s="982">
        <v>-4</v>
      </c>
      <c r="AI48" s="958">
        <v>-2</v>
      </c>
      <c r="AJ48" s="958">
        <v>-2</v>
      </c>
      <c r="AK48" s="1002"/>
      <c r="AL48" s="982"/>
      <c r="AM48" s="958"/>
      <c r="AN48" s="958"/>
      <c r="AO48" s="1002"/>
      <c r="AP48" s="982"/>
      <c r="AQ48" s="958"/>
      <c r="AR48" s="958"/>
      <c r="AS48" s="1002"/>
      <c r="AT48" s="982"/>
      <c r="AU48" s="958"/>
      <c r="AV48" s="958"/>
      <c r="AW48" s="1002"/>
      <c r="AX48" s="982"/>
      <c r="AY48" s="958"/>
      <c r="AZ48" s="958"/>
      <c r="BA48" s="1002"/>
      <c r="BB48" s="982">
        <v>4342.78</v>
      </c>
      <c r="BC48" s="958">
        <v>7574</v>
      </c>
      <c r="BD48" s="958">
        <f t="shared" si="2"/>
        <v>7574</v>
      </c>
      <c r="BE48" s="1002">
        <v>54728.64</v>
      </c>
      <c r="BF48" s="982">
        <v>96.75</v>
      </c>
      <c r="BG48" s="958">
        <v>53</v>
      </c>
      <c r="BH48" s="958">
        <v>52</v>
      </c>
      <c r="BI48" s="1002">
        <v>1081.12</v>
      </c>
      <c r="BJ48" s="982">
        <v>5.19</v>
      </c>
      <c r="BK48" s="958">
        <v>268</v>
      </c>
      <c r="BL48" s="958">
        <v>252</v>
      </c>
      <c r="BM48" s="1002">
        <v>10.42</v>
      </c>
      <c r="BN48" s="982"/>
      <c r="BO48" s="958"/>
      <c r="BP48" s="958"/>
      <c r="BQ48" s="1002"/>
      <c r="BR48" s="982"/>
      <c r="BS48" s="958"/>
      <c r="BT48" s="958"/>
      <c r="BU48" s="1002"/>
      <c r="BV48" s="982"/>
      <c r="BW48" s="958"/>
      <c r="BX48" s="958"/>
      <c r="BY48" s="1002"/>
      <c r="BZ48" s="982"/>
      <c r="CA48" s="958"/>
      <c r="CB48" s="958"/>
      <c r="CC48" s="983"/>
      <c r="CD48" s="984"/>
      <c r="CE48" s="958"/>
      <c r="CF48" s="1002"/>
      <c r="CG48" s="1002"/>
      <c r="CH48" s="982"/>
      <c r="CI48" s="958"/>
      <c r="CJ48" s="958"/>
      <c r="CK48" s="1002"/>
      <c r="CL48" s="982"/>
      <c r="CM48" s="958"/>
      <c r="CN48" s="958"/>
      <c r="CO48" s="1002"/>
      <c r="CP48" s="982"/>
      <c r="CQ48" s="958"/>
      <c r="CR48" s="958"/>
      <c r="CS48" s="1002"/>
    </row>
    <row r="49" spans="1:97" ht="16.5">
      <c r="A49" s="957" t="s">
        <v>436</v>
      </c>
      <c r="B49" s="1005"/>
      <c r="C49" s="958"/>
      <c r="D49" s="1006"/>
      <c r="E49" s="1002"/>
      <c r="F49" s="984"/>
      <c r="G49" s="958"/>
      <c r="H49" s="958"/>
      <c r="I49" s="1002"/>
      <c r="J49" s="982"/>
      <c r="K49" s="958"/>
      <c r="L49" s="958"/>
      <c r="M49" s="1002"/>
      <c r="N49" s="982"/>
      <c r="O49" s="958"/>
      <c r="P49" s="958"/>
      <c r="Q49" s="983"/>
      <c r="R49" s="984"/>
      <c r="S49" s="958"/>
      <c r="T49" s="958"/>
      <c r="U49" s="1002"/>
      <c r="V49" s="982"/>
      <c r="W49" s="958"/>
      <c r="X49" s="958"/>
      <c r="Y49" s="1002"/>
      <c r="Z49" s="982"/>
      <c r="AA49" s="958"/>
      <c r="AB49" s="958"/>
      <c r="AC49" s="1002"/>
      <c r="AD49" s="982"/>
      <c r="AE49" s="958"/>
      <c r="AF49" s="958"/>
      <c r="AG49" s="1002"/>
      <c r="AH49" s="982"/>
      <c r="AI49" s="958"/>
      <c r="AJ49" s="958"/>
      <c r="AK49" s="1002"/>
      <c r="AL49" s="982"/>
      <c r="AM49" s="958"/>
      <c r="AN49" s="958"/>
      <c r="AO49" s="1002"/>
      <c r="AP49" s="982"/>
      <c r="AQ49" s="958"/>
      <c r="AR49" s="958"/>
      <c r="AS49" s="1002"/>
      <c r="AT49" s="982"/>
      <c r="AU49" s="958"/>
      <c r="AV49" s="958"/>
      <c r="AW49" s="1002"/>
      <c r="AX49" s="982"/>
      <c r="AY49" s="958"/>
      <c r="AZ49" s="958"/>
      <c r="BA49" s="1002"/>
      <c r="BB49" s="982">
        <v>17996.78</v>
      </c>
      <c r="BC49" s="958">
        <v>18460</v>
      </c>
      <c r="BD49" s="958">
        <f t="shared" si="2"/>
        <v>18460</v>
      </c>
      <c r="BE49" s="1002">
        <v>152716.13</v>
      </c>
      <c r="BF49" s="982">
        <v>95.4</v>
      </c>
      <c r="BG49" s="958">
        <v>44</v>
      </c>
      <c r="BH49" s="958">
        <v>45</v>
      </c>
      <c r="BI49" s="1002">
        <v>1058.91</v>
      </c>
      <c r="BJ49" s="982">
        <v>1.93</v>
      </c>
      <c r="BK49" s="958">
        <v>87</v>
      </c>
      <c r="BL49" s="958">
        <v>82</v>
      </c>
      <c r="BM49" s="1002">
        <v>4.05</v>
      </c>
      <c r="BN49" s="982"/>
      <c r="BO49" s="958"/>
      <c r="BP49" s="958"/>
      <c r="BQ49" s="1002"/>
      <c r="BR49" s="982"/>
      <c r="BS49" s="958"/>
      <c r="BT49" s="958"/>
      <c r="BU49" s="1002"/>
      <c r="BV49" s="982"/>
      <c r="BW49" s="958"/>
      <c r="BX49" s="958"/>
      <c r="BY49" s="1002"/>
      <c r="BZ49" s="982"/>
      <c r="CA49" s="958"/>
      <c r="CB49" s="958"/>
      <c r="CC49" s="983"/>
      <c r="CD49" s="984"/>
      <c r="CE49" s="958"/>
      <c r="CF49" s="1002"/>
      <c r="CG49" s="1002"/>
      <c r="CH49" s="982"/>
      <c r="CI49" s="958"/>
      <c r="CJ49" s="958"/>
      <c r="CK49" s="1002"/>
      <c r="CL49" s="982"/>
      <c r="CM49" s="958"/>
      <c r="CN49" s="958"/>
      <c r="CO49" s="1002"/>
      <c r="CP49" s="982"/>
      <c r="CQ49" s="958"/>
      <c r="CR49" s="958"/>
      <c r="CS49" s="1002"/>
    </row>
    <row r="50" spans="1:97" ht="16.5">
      <c r="A50" s="957" t="s">
        <v>437</v>
      </c>
      <c r="B50" s="1005"/>
      <c r="C50" s="958"/>
      <c r="D50" s="1006"/>
      <c r="E50" s="1002"/>
      <c r="F50" s="984"/>
      <c r="G50" s="958"/>
      <c r="H50" s="958"/>
      <c r="I50" s="1002"/>
      <c r="J50" s="982"/>
      <c r="K50" s="958"/>
      <c r="L50" s="958"/>
      <c r="M50" s="1002"/>
      <c r="N50" s="982"/>
      <c r="O50" s="958"/>
      <c r="P50" s="958"/>
      <c r="Q50" s="983"/>
      <c r="R50" s="984"/>
      <c r="S50" s="958"/>
      <c r="T50" s="958"/>
      <c r="U50" s="1002"/>
      <c r="V50" s="982"/>
      <c r="W50" s="958"/>
      <c r="X50" s="958"/>
      <c r="Y50" s="1002"/>
      <c r="Z50" s="982"/>
      <c r="AA50" s="958"/>
      <c r="AB50" s="958"/>
      <c r="AC50" s="1002"/>
      <c r="AD50" s="982"/>
      <c r="AE50" s="958"/>
      <c r="AF50" s="958"/>
      <c r="AG50" s="1002"/>
      <c r="AH50" s="982"/>
      <c r="AI50" s="958"/>
      <c r="AJ50" s="958"/>
      <c r="AK50" s="1002"/>
      <c r="AL50" s="982"/>
      <c r="AM50" s="958"/>
      <c r="AN50" s="958"/>
      <c r="AO50" s="1002"/>
      <c r="AP50" s="982"/>
      <c r="AQ50" s="958"/>
      <c r="AR50" s="958"/>
      <c r="AS50" s="1002"/>
      <c r="AT50" s="982"/>
      <c r="AU50" s="958"/>
      <c r="AV50" s="958"/>
      <c r="AW50" s="1002"/>
      <c r="AX50" s="982"/>
      <c r="AY50" s="958"/>
      <c r="AZ50" s="958"/>
      <c r="BA50" s="1002"/>
      <c r="BB50" s="982">
        <v>4108.02</v>
      </c>
      <c r="BC50" s="958">
        <v>3863</v>
      </c>
      <c r="BD50" s="958">
        <f t="shared" si="2"/>
        <v>3863</v>
      </c>
      <c r="BE50" s="1002">
        <v>33340.93</v>
      </c>
      <c r="BF50" s="982">
        <v>69.33</v>
      </c>
      <c r="BG50" s="958">
        <v>25</v>
      </c>
      <c r="BH50" s="958">
        <v>24</v>
      </c>
      <c r="BI50" s="1002">
        <v>764.95</v>
      </c>
      <c r="BJ50" s="982">
        <v>3.72</v>
      </c>
      <c r="BK50" s="958">
        <v>125</v>
      </c>
      <c r="BL50" s="958">
        <v>121</v>
      </c>
      <c r="BM50" s="1002">
        <v>7.43</v>
      </c>
      <c r="BN50" s="982"/>
      <c r="BO50" s="958"/>
      <c r="BP50" s="958"/>
      <c r="BQ50" s="1002"/>
      <c r="BR50" s="982"/>
      <c r="BS50" s="958"/>
      <c r="BT50" s="958"/>
      <c r="BU50" s="1002"/>
      <c r="BV50" s="982"/>
      <c r="BW50" s="958"/>
      <c r="BX50" s="958"/>
      <c r="BY50" s="1002"/>
      <c r="BZ50" s="982"/>
      <c r="CA50" s="958"/>
      <c r="CB50" s="958"/>
      <c r="CC50" s="983"/>
      <c r="CD50" s="984"/>
      <c r="CE50" s="958"/>
      <c r="CF50" s="1002"/>
      <c r="CG50" s="1002"/>
      <c r="CH50" s="982"/>
      <c r="CI50" s="958"/>
      <c r="CJ50" s="958"/>
      <c r="CK50" s="1002"/>
      <c r="CL50" s="982"/>
      <c r="CM50" s="958"/>
      <c r="CN50" s="958"/>
      <c r="CO50" s="1002"/>
      <c r="CP50" s="982"/>
      <c r="CQ50" s="958"/>
      <c r="CR50" s="958"/>
      <c r="CS50" s="1002"/>
    </row>
    <row r="51" spans="1:97" ht="16.5">
      <c r="A51" s="957" t="s">
        <v>438</v>
      </c>
      <c r="B51" s="1005"/>
      <c r="C51" s="958"/>
      <c r="D51" s="1006"/>
      <c r="E51" s="1002"/>
      <c r="F51" s="984"/>
      <c r="G51" s="958"/>
      <c r="H51" s="958"/>
      <c r="I51" s="1002"/>
      <c r="J51" s="982"/>
      <c r="K51" s="958"/>
      <c r="L51" s="958"/>
      <c r="M51" s="1002"/>
      <c r="N51" s="982"/>
      <c r="O51" s="958"/>
      <c r="P51" s="958"/>
      <c r="Q51" s="983"/>
      <c r="R51" s="984"/>
      <c r="S51" s="958"/>
      <c r="T51" s="958"/>
      <c r="U51" s="1002"/>
      <c r="V51" s="982"/>
      <c r="W51" s="958"/>
      <c r="X51" s="958"/>
      <c r="Y51" s="1002"/>
      <c r="Z51" s="982"/>
      <c r="AA51" s="958"/>
      <c r="AB51" s="958"/>
      <c r="AC51" s="1002"/>
      <c r="AD51" s="982"/>
      <c r="AE51" s="958"/>
      <c r="AF51" s="958"/>
      <c r="AG51" s="1002"/>
      <c r="AH51" s="982"/>
      <c r="AI51" s="958"/>
      <c r="AJ51" s="958"/>
      <c r="AK51" s="1002"/>
      <c r="AL51" s="982"/>
      <c r="AM51" s="958"/>
      <c r="AN51" s="958"/>
      <c r="AO51" s="1002"/>
      <c r="AP51" s="982"/>
      <c r="AQ51" s="958"/>
      <c r="AR51" s="958"/>
      <c r="AS51" s="1002"/>
      <c r="AT51" s="982"/>
      <c r="AU51" s="958"/>
      <c r="AV51" s="958"/>
      <c r="AW51" s="1002"/>
      <c r="AX51" s="982"/>
      <c r="AY51" s="958"/>
      <c r="AZ51" s="958"/>
      <c r="BA51" s="1002"/>
      <c r="BB51" s="982">
        <v>32588.62</v>
      </c>
      <c r="BC51" s="958">
        <v>12212</v>
      </c>
      <c r="BD51" s="958">
        <f t="shared" si="2"/>
        <v>12212</v>
      </c>
      <c r="BE51" s="1002">
        <v>284839.9</v>
      </c>
      <c r="BF51" s="982">
        <v>493.92</v>
      </c>
      <c r="BG51" s="958">
        <v>80</v>
      </c>
      <c r="BH51" s="958">
        <v>70</v>
      </c>
      <c r="BI51" s="1002">
        <v>5599.01</v>
      </c>
      <c r="BJ51" s="982">
        <v>46.16</v>
      </c>
      <c r="BK51" s="958">
        <v>587</v>
      </c>
      <c r="BL51" s="958">
        <v>495</v>
      </c>
      <c r="BM51" s="1002">
        <v>92.81</v>
      </c>
      <c r="BN51" s="982"/>
      <c r="BO51" s="958"/>
      <c r="BP51" s="958"/>
      <c r="BQ51" s="1002"/>
      <c r="BR51" s="982"/>
      <c r="BS51" s="958"/>
      <c r="BT51" s="958"/>
      <c r="BU51" s="1002"/>
      <c r="BV51" s="982"/>
      <c r="BW51" s="958"/>
      <c r="BX51" s="958"/>
      <c r="BY51" s="1002"/>
      <c r="BZ51" s="982"/>
      <c r="CA51" s="958"/>
      <c r="CB51" s="958"/>
      <c r="CC51" s="983"/>
      <c r="CD51" s="984"/>
      <c r="CE51" s="958"/>
      <c r="CF51" s="1002"/>
      <c r="CG51" s="1002"/>
      <c r="CH51" s="982"/>
      <c r="CI51" s="958"/>
      <c r="CJ51" s="958"/>
      <c r="CK51" s="1002"/>
      <c r="CL51" s="982"/>
      <c r="CM51" s="958"/>
      <c r="CN51" s="958"/>
      <c r="CO51" s="1002"/>
      <c r="CP51" s="982"/>
      <c r="CQ51" s="958"/>
      <c r="CR51" s="958"/>
      <c r="CS51" s="1002"/>
    </row>
    <row r="52" spans="1:97" ht="16.5">
      <c r="A52" s="956" t="s">
        <v>443</v>
      </c>
      <c r="B52" s="984"/>
      <c r="C52" s="958"/>
      <c r="D52" s="958"/>
      <c r="E52" s="1002"/>
      <c r="F52" s="984"/>
      <c r="G52" s="958"/>
      <c r="H52" s="958"/>
      <c r="I52" s="1002"/>
      <c r="J52" s="982"/>
      <c r="K52" s="958"/>
      <c r="L52" s="958"/>
      <c r="M52" s="1002"/>
      <c r="N52" s="982"/>
      <c r="O52" s="958"/>
      <c r="P52" s="958"/>
      <c r="Q52" s="983"/>
      <c r="R52" s="984"/>
      <c r="S52" s="958"/>
      <c r="T52" s="958"/>
      <c r="U52" s="1002"/>
      <c r="V52" s="982"/>
      <c r="W52" s="958"/>
      <c r="X52" s="958"/>
      <c r="Y52" s="1002"/>
      <c r="Z52" s="982"/>
      <c r="AA52" s="958"/>
      <c r="AB52" s="958"/>
      <c r="AC52" s="1002"/>
      <c r="AD52" s="982"/>
      <c r="AE52" s="958"/>
      <c r="AF52" s="958"/>
      <c r="AG52" s="1002"/>
      <c r="AH52" s="982"/>
      <c r="AI52" s="958"/>
      <c r="AJ52" s="958"/>
      <c r="AK52" s="1002"/>
      <c r="AL52" s="982"/>
      <c r="AM52" s="958"/>
      <c r="AN52" s="958"/>
      <c r="AO52" s="1002"/>
      <c r="AP52" s="982"/>
      <c r="AQ52" s="958"/>
      <c r="AR52" s="958"/>
      <c r="AS52" s="1002"/>
      <c r="AT52" s="982"/>
      <c r="AU52" s="958"/>
      <c r="AV52" s="958"/>
      <c r="AW52" s="1002"/>
      <c r="AX52" s="982"/>
      <c r="AY52" s="958"/>
      <c r="AZ52" s="958"/>
      <c r="BA52" s="1002"/>
      <c r="BB52" s="982"/>
      <c r="BC52" s="958"/>
      <c r="BD52" s="958"/>
      <c r="BE52" s="1002"/>
      <c r="BF52" s="982"/>
      <c r="BG52" s="958"/>
      <c r="BH52" s="958"/>
      <c r="BI52" s="1002"/>
      <c r="BJ52" s="982"/>
      <c r="BK52" s="958"/>
      <c r="BL52" s="958"/>
      <c r="BM52" s="1002"/>
      <c r="BN52" s="982"/>
      <c r="BO52" s="958"/>
      <c r="BP52" s="958"/>
      <c r="BQ52" s="1002"/>
      <c r="BR52" s="982"/>
      <c r="BS52" s="958"/>
      <c r="BT52" s="958"/>
      <c r="BU52" s="1002"/>
      <c r="BV52" s="982"/>
      <c r="BW52" s="958"/>
      <c r="BX52" s="958"/>
      <c r="BY52" s="1002"/>
      <c r="BZ52" s="982"/>
      <c r="CA52" s="958"/>
      <c r="CB52" s="958"/>
      <c r="CC52" s="983"/>
      <c r="CD52" s="984"/>
      <c r="CE52" s="958"/>
      <c r="CF52" s="958"/>
      <c r="CG52" s="1002"/>
      <c r="CH52" s="982"/>
      <c r="CI52" s="958"/>
      <c r="CJ52" s="958"/>
      <c r="CK52" s="1002"/>
      <c r="CL52" s="982"/>
      <c r="CM52" s="958"/>
      <c r="CN52" s="958"/>
      <c r="CO52" s="1002"/>
      <c r="CP52" s="982"/>
      <c r="CQ52" s="958"/>
      <c r="CR52" s="958"/>
      <c r="CS52" s="1002"/>
    </row>
    <row r="53" spans="1:97" ht="16.5">
      <c r="A53" s="957" t="s">
        <v>424</v>
      </c>
      <c r="B53" s="984">
        <v>-159</v>
      </c>
      <c r="C53" s="1004">
        <v>3033</v>
      </c>
      <c r="D53" s="1006">
        <v>101579</v>
      </c>
      <c r="E53" s="1008">
        <v>1635898</v>
      </c>
      <c r="F53" s="984"/>
      <c r="G53" s="958"/>
      <c r="H53" s="958"/>
      <c r="I53" s="1002"/>
      <c r="J53" s="982">
        <v>5</v>
      </c>
      <c r="K53" s="958">
        <v>7</v>
      </c>
      <c r="L53" s="958">
        <v>39319</v>
      </c>
      <c r="M53" s="1002">
        <v>-440495</v>
      </c>
      <c r="N53" s="982"/>
      <c r="O53" s="958"/>
      <c r="P53" s="958"/>
      <c r="Q53" s="983"/>
      <c r="R53" s="984"/>
      <c r="S53" s="958"/>
      <c r="T53" s="958"/>
      <c r="U53" s="1002"/>
      <c r="V53" s="982">
        <v>220.8</v>
      </c>
      <c r="W53" s="958"/>
      <c r="X53" s="958">
        <v>4370</v>
      </c>
      <c r="Y53" s="1002">
        <v>79916.7</v>
      </c>
      <c r="Z53" s="982"/>
      <c r="AA53" s="958"/>
      <c r="AB53" s="958"/>
      <c r="AC53" s="1002"/>
      <c r="AD53" s="982"/>
      <c r="AE53" s="958"/>
      <c r="AF53" s="958"/>
      <c r="AG53" s="1002"/>
      <c r="AH53" s="982"/>
      <c r="AI53" s="958"/>
      <c r="AJ53" s="958"/>
      <c r="AK53" s="1002"/>
      <c r="AL53" s="982">
        <v>9</v>
      </c>
      <c r="AM53" s="958"/>
      <c r="AN53" s="958">
        <v>2545</v>
      </c>
      <c r="AO53" s="1002">
        <v>47230</v>
      </c>
      <c r="AP53" s="982"/>
      <c r="AQ53" s="958"/>
      <c r="AR53" s="958"/>
      <c r="AS53" s="1002"/>
      <c r="AT53" s="982"/>
      <c r="AU53" s="958"/>
      <c r="AV53" s="958"/>
      <c r="AW53" s="1002"/>
      <c r="AX53" s="982">
        <v>0</v>
      </c>
      <c r="AY53" s="958">
        <v>0</v>
      </c>
      <c r="AZ53" s="958">
        <v>104</v>
      </c>
      <c r="BA53" s="1002">
        <v>0.31</v>
      </c>
      <c r="BB53" s="982"/>
      <c r="BC53" s="958"/>
      <c r="BD53" s="958"/>
      <c r="BE53" s="1002"/>
      <c r="BF53" s="982">
        <v>-203.17</v>
      </c>
      <c r="BG53" s="958">
        <v>367</v>
      </c>
      <c r="BH53" s="958">
        <v>434113</v>
      </c>
      <c r="BI53" s="1002">
        <v>-119839.32</v>
      </c>
      <c r="BJ53" s="982"/>
      <c r="BK53" s="958"/>
      <c r="BL53" s="958"/>
      <c r="BM53" s="1002"/>
      <c r="BN53" s="982"/>
      <c r="BO53" s="958"/>
      <c r="BP53" s="958"/>
      <c r="BQ53" s="1002"/>
      <c r="BR53" s="982">
        <v>-55</v>
      </c>
      <c r="BS53" s="958">
        <v>16</v>
      </c>
      <c r="BT53" s="958">
        <v>10795</v>
      </c>
      <c r="BU53" s="1002">
        <v>-9752</v>
      </c>
      <c r="BV53" s="982"/>
      <c r="BW53" s="958"/>
      <c r="BX53" s="958"/>
      <c r="BY53" s="1002"/>
      <c r="BZ53" s="982">
        <v>1</v>
      </c>
      <c r="CA53" s="958">
        <v>2</v>
      </c>
      <c r="CB53" s="958">
        <v>45623</v>
      </c>
      <c r="CC53" s="983">
        <v>1624</v>
      </c>
      <c r="CD53" s="984">
        <v>2.61</v>
      </c>
      <c r="CE53" s="958">
        <v>0</v>
      </c>
      <c r="CF53" s="958">
        <v>1021</v>
      </c>
      <c r="CG53" s="1002">
        <v>3264.21</v>
      </c>
      <c r="CH53" s="982">
        <v>13.03</v>
      </c>
      <c r="CI53" s="958">
        <v>1</v>
      </c>
      <c r="CJ53" s="958">
        <v>3761</v>
      </c>
      <c r="CK53" s="1002">
        <v>11039.11</v>
      </c>
      <c r="CL53" s="958">
        <v>785</v>
      </c>
      <c r="CM53" s="958">
        <v>14</v>
      </c>
      <c r="CN53" s="1002">
        <v>130579</v>
      </c>
      <c r="CO53" s="1002">
        <v>1853549</v>
      </c>
      <c r="CP53" s="982"/>
      <c r="CQ53" s="958"/>
      <c r="CR53" s="958"/>
      <c r="CS53" s="1002"/>
    </row>
    <row r="54" spans="1:97" ht="16.5">
      <c r="A54" s="957" t="s">
        <v>425</v>
      </c>
      <c r="B54" s="1003">
        <v>107</v>
      </c>
      <c r="C54" s="958">
        <v>511</v>
      </c>
      <c r="D54" s="1006">
        <v>29895</v>
      </c>
      <c r="E54" s="1008">
        <v>429917</v>
      </c>
      <c r="F54" s="984"/>
      <c r="G54" s="958"/>
      <c r="H54" s="958"/>
      <c r="I54" s="1002"/>
      <c r="J54" s="982">
        <v>15</v>
      </c>
      <c r="K54" s="958">
        <v>2</v>
      </c>
      <c r="L54" s="958">
        <v>13268</v>
      </c>
      <c r="M54" s="1002">
        <v>20088</v>
      </c>
      <c r="N54" s="982"/>
      <c r="O54" s="958"/>
      <c r="P54" s="958"/>
      <c r="Q54" s="983"/>
      <c r="R54" s="984"/>
      <c r="S54" s="958"/>
      <c r="T54" s="958"/>
      <c r="U54" s="1002"/>
      <c r="V54" s="982">
        <v>165.2</v>
      </c>
      <c r="W54" s="958"/>
      <c r="X54" s="958">
        <v>1114</v>
      </c>
      <c r="Y54" s="1002">
        <v>36743.6</v>
      </c>
      <c r="Z54" s="982"/>
      <c r="AA54" s="958"/>
      <c r="AB54" s="958"/>
      <c r="AC54" s="1002"/>
      <c r="AD54" s="982">
        <v>0</v>
      </c>
      <c r="AE54" s="958">
        <v>1</v>
      </c>
      <c r="AF54" s="958">
        <v>68</v>
      </c>
      <c r="AG54" s="1002">
        <v>0.7</v>
      </c>
      <c r="AH54" s="982"/>
      <c r="AI54" s="958"/>
      <c r="AJ54" s="958"/>
      <c r="AK54" s="1002"/>
      <c r="AL54" s="982">
        <v>18</v>
      </c>
      <c r="AM54" s="958"/>
      <c r="AN54" s="958">
        <v>3023</v>
      </c>
      <c r="AO54" s="1002">
        <v>62221</v>
      </c>
      <c r="AP54" s="982"/>
      <c r="AQ54" s="958"/>
      <c r="AR54" s="958"/>
      <c r="AS54" s="1002"/>
      <c r="AT54" s="982"/>
      <c r="AU54" s="958">
        <v>1</v>
      </c>
      <c r="AV54" s="958">
        <v>1</v>
      </c>
      <c r="AW54" s="1002">
        <v>250</v>
      </c>
      <c r="AX54" s="982">
        <v>0</v>
      </c>
      <c r="AY54" s="958">
        <v>0</v>
      </c>
      <c r="AZ54" s="958">
        <v>421</v>
      </c>
      <c r="BA54" s="1002">
        <v>1.26</v>
      </c>
      <c r="BB54" s="982"/>
      <c r="BC54" s="958"/>
      <c r="BD54" s="958"/>
      <c r="BE54" s="1002"/>
      <c r="BF54" s="982">
        <v>16.4</v>
      </c>
      <c r="BG54" s="958">
        <v>12</v>
      </c>
      <c r="BH54" s="958">
        <v>6626</v>
      </c>
      <c r="BI54" s="1002">
        <v>27723.99</v>
      </c>
      <c r="BJ54" s="982"/>
      <c r="BK54" s="958"/>
      <c r="BL54" s="958"/>
      <c r="BM54" s="1002"/>
      <c r="BN54" s="982"/>
      <c r="BO54" s="958"/>
      <c r="BP54" s="958"/>
      <c r="BQ54" s="1002"/>
      <c r="BR54" s="982">
        <v>4</v>
      </c>
      <c r="BS54" s="958"/>
      <c r="BT54" s="958">
        <v>-47</v>
      </c>
      <c r="BU54" s="1002">
        <v>-23</v>
      </c>
      <c r="BV54" s="982"/>
      <c r="BW54" s="958"/>
      <c r="BX54" s="958"/>
      <c r="BY54" s="1002"/>
      <c r="BZ54" s="982">
        <v>1</v>
      </c>
      <c r="CA54" s="958">
        <v>43</v>
      </c>
      <c r="CB54" s="958">
        <v>34036</v>
      </c>
      <c r="CC54" s="983">
        <v>2564</v>
      </c>
      <c r="CD54" s="984">
        <v>4.26</v>
      </c>
      <c r="CE54" s="958">
        <v>1</v>
      </c>
      <c r="CF54" s="958">
        <v>1745</v>
      </c>
      <c r="CG54" s="1002">
        <v>5831.99</v>
      </c>
      <c r="CH54" s="982">
        <v>33.68</v>
      </c>
      <c r="CI54" s="958">
        <v>0</v>
      </c>
      <c r="CJ54" s="958">
        <v>4964</v>
      </c>
      <c r="CK54" s="1002">
        <v>16421.06</v>
      </c>
      <c r="CL54" s="958">
        <v>6</v>
      </c>
      <c r="CM54" s="958">
        <v>11</v>
      </c>
      <c r="CN54" s="1002">
        <v>10621</v>
      </c>
      <c r="CO54" s="1002">
        <v>6615</v>
      </c>
      <c r="CP54" s="982"/>
      <c r="CQ54" s="958"/>
      <c r="CR54" s="958"/>
      <c r="CS54" s="1002"/>
    </row>
    <row r="55" spans="1:97" ht="16.5">
      <c r="A55" s="957" t="s">
        <v>426</v>
      </c>
      <c r="B55" s="1003">
        <v>128</v>
      </c>
      <c r="C55" s="958">
        <v>330</v>
      </c>
      <c r="D55" s="1006">
        <v>27191</v>
      </c>
      <c r="E55" s="1008">
        <v>416239</v>
      </c>
      <c r="F55" s="984"/>
      <c r="G55" s="958"/>
      <c r="H55" s="958"/>
      <c r="I55" s="1002"/>
      <c r="J55" s="982">
        <v>25</v>
      </c>
      <c r="K55" s="958">
        <v>16</v>
      </c>
      <c r="L55" s="958">
        <v>16944</v>
      </c>
      <c r="M55" s="1002">
        <v>25776</v>
      </c>
      <c r="N55" s="982"/>
      <c r="O55" s="958"/>
      <c r="P55" s="958"/>
      <c r="Q55" s="983"/>
      <c r="R55" s="984"/>
      <c r="S55" s="958"/>
      <c r="T55" s="958"/>
      <c r="U55" s="1002"/>
      <c r="V55" s="982">
        <v>46.4</v>
      </c>
      <c r="W55" s="958"/>
      <c r="X55" s="958">
        <v>142</v>
      </c>
      <c r="Y55" s="1002">
        <v>8643.8</v>
      </c>
      <c r="Z55" s="982"/>
      <c r="AA55" s="958"/>
      <c r="AB55" s="958"/>
      <c r="AC55" s="1002"/>
      <c r="AD55" s="982">
        <v>0</v>
      </c>
      <c r="AE55" s="958">
        <v>1</v>
      </c>
      <c r="AF55" s="958">
        <v>263</v>
      </c>
      <c r="AG55" s="1002">
        <v>18.43</v>
      </c>
      <c r="AH55" s="982"/>
      <c r="AI55" s="958"/>
      <c r="AJ55" s="958"/>
      <c r="AK55" s="1002"/>
      <c r="AL55" s="982">
        <v>23</v>
      </c>
      <c r="AM55" s="958"/>
      <c r="AN55" s="958">
        <v>2345</v>
      </c>
      <c r="AO55" s="1002">
        <v>78119</v>
      </c>
      <c r="AP55" s="982"/>
      <c r="AQ55" s="958"/>
      <c r="AR55" s="958"/>
      <c r="AS55" s="1002"/>
      <c r="AT55" s="982"/>
      <c r="AU55" s="958"/>
      <c r="AV55" s="958"/>
      <c r="AW55" s="1002"/>
      <c r="AX55" s="982">
        <v>0.01</v>
      </c>
      <c r="AY55" s="958">
        <v>4</v>
      </c>
      <c r="AZ55" s="958">
        <v>734</v>
      </c>
      <c r="BA55" s="1002">
        <v>3.02</v>
      </c>
      <c r="BB55" s="982"/>
      <c r="BC55" s="958"/>
      <c r="BD55" s="958"/>
      <c r="BE55" s="1002"/>
      <c r="BF55" s="982">
        <v>32.01</v>
      </c>
      <c r="BG55" s="958">
        <v>7</v>
      </c>
      <c r="BH55" s="958">
        <v>39846</v>
      </c>
      <c r="BI55" s="1002">
        <v>49228.84</v>
      </c>
      <c r="BJ55" s="982"/>
      <c r="BK55" s="958"/>
      <c r="BL55" s="958"/>
      <c r="BM55" s="1002"/>
      <c r="BN55" s="982"/>
      <c r="BO55" s="958"/>
      <c r="BP55" s="958"/>
      <c r="BQ55" s="1002"/>
      <c r="BR55" s="982">
        <v>14</v>
      </c>
      <c r="BS55" s="958"/>
      <c r="BT55" s="958">
        <v>-7</v>
      </c>
      <c r="BU55" s="1002">
        <v>-1</v>
      </c>
      <c r="BV55" s="982"/>
      <c r="BW55" s="958"/>
      <c r="BX55" s="958"/>
      <c r="BY55" s="1002"/>
      <c r="BZ55" s="982">
        <v>2</v>
      </c>
      <c r="CA55" s="958">
        <v>33</v>
      </c>
      <c r="CB55" s="958">
        <v>45188</v>
      </c>
      <c r="CC55" s="983">
        <v>3223</v>
      </c>
      <c r="CD55" s="984">
        <v>13.41</v>
      </c>
      <c r="CE55" s="958">
        <v>11</v>
      </c>
      <c r="CF55" s="958">
        <v>6318</v>
      </c>
      <c r="CG55" s="1002">
        <v>16717.73</v>
      </c>
      <c r="CH55" s="982">
        <v>53.63</v>
      </c>
      <c r="CI55" s="958">
        <v>1</v>
      </c>
      <c r="CJ55" s="958">
        <v>16594</v>
      </c>
      <c r="CK55" s="1002">
        <v>32728.08</v>
      </c>
      <c r="CL55" s="958">
        <v>23</v>
      </c>
      <c r="CM55" s="958">
        <v>18</v>
      </c>
      <c r="CN55" s="1002">
        <v>10442</v>
      </c>
      <c r="CO55" s="1002">
        <v>14389</v>
      </c>
      <c r="CP55" s="982"/>
      <c r="CQ55" s="958"/>
      <c r="CR55" s="958"/>
      <c r="CS55" s="1002"/>
    </row>
    <row r="56" spans="1:97" ht="16.5">
      <c r="A56" s="957" t="s">
        <v>427</v>
      </c>
      <c r="B56" s="1003">
        <v>138</v>
      </c>
      <c r="C56" s="958">
        <v>218</v>
      </c>
      <c r="D56" s="1006">
        <v>27032</v>
      </c>
      <c r="E56" s="1008">
        <v>355964</v>
      </c>
      <c r="F56" s="984"/>
      <c r="G56" s="958"/>
      <c r="H56" s="958"/>
      <c r="I56" s="959"/>
      <c r="J56" s="982">
        <v>29</v>
      </c>
      <c r="K56" s="958">
        <v>9</v>
      </c>
      <c r="L56" s="958">
        <v>11549</v>
      </c>
      <c r="M56" s="1002">
        <v>23875</v>
      </c>
      <c r="N56" s="982"/>
      <c r="O56" s="958"/>
      <c r="P56" s="958"/>
      <c r="Q56" s="983"/>
      <c r="R56" s="984"/>
      <c r="S56" s="958"/>
      <c r="T56" s="958"/>
      <c r="U56" s="1002"/>
      <c r="V56" s="982">
        <v>2.4</v>
      </c>
      <c r="W56" s="958">
        <v>2</v>
      </c>
      <c r="X56" s="958">
        <v>4</v>
      </c>
      <c r="Y56" s="1002">
        <v>355.1</v>
      </c>
      <c r="Z56" s="982"/>
      <c r="AA56" s="958"/>
      <c r="AB56" s="958"/>
      <c r="AC56" s="1002"/>
      <c r="AD56" s="982">
        <v>0</v>
      </c>
      <c r="AE56" s="958">
        <v>1</v>
      </c>
      <c r="AF56" s="958">
        <v>267</v>
      </c>
      <c r="AG56" s="1002">
        <v>20.09</v>
      </c>
      <c r="AH56" s="982"/>
      <c r="AI56" s="958"/>
      <c r="AJ56" s="958"/>
      <c r="AK56" s="1002"/>
      <c r="AL56" s="982">
        <v>31</v>
      </c>
      <c r="AM56" s="958">
        <v>1</v>
      </c>
      <c r="AN56" s="958">
        <v>3731</v>
      </c>
      <c r="AO56" s="1002">
        <v>116159</v>
      </c>
      <c r="AP56" s="982"/>
      <c r="AQ56" s="958"/>
      <c r="AR56" s="958"/>
      <c r="AS56" s="1002"/>
      <c r="AT56" s="982"/>
      <c r="AU56" s="958"/>
      <c r="AV56" s="958"/>
      <c r="AW56" s="1002"/>
      <c r="AX56" s="982">
        <v>0</v>
      </c>
      <c r="AY56" s="958">
        <v>0</v>
      </c>
      <c r="AZ56" s="958">
        <v>0</v>
      </c>
      <c r="BA56" s="1002">
        <v>0</v>
      </c>
      <c r="BB56" s="982"/>
      <c r="BC56" s="958"/>
      <c r="BD56" s="958"/>
      <c r="BE56" s="1002"/>
      <c r="BF56" s="982">
        <v>17.39</v>
      </c>
      <c r="BG56" s="958">
        <v>3</v>
      </c>
      <c r="BH56" s="958">
        <v>2339</v>
      </c>
      <c r="BI56" s="1002">
        <v>26042.56</v>
      </c>
      <c r="BJ56" s="982"/>
      <c r="BK56" s="958"/>
      <c r="BL56" s="958"/>
      <c r="BM56" s="1002"/>
      <c r="BN56" s="982"/>
      <c r="BO56" s="958"/>
      <c r="BP56" s="958"/>
      <c r="BQ56" s="1002"/>
      <c r="BR56" s="982">
        <v>2</v>
      </c>
      <c r="BS56" s="958"/>
      <c r="BT56" s="958">
        <v>-26</v>
      </c>
      <c r="BU56" s="1002">
        <v>-1</v>
      </c>
      <c r="BV56" s="982"/>
      <c r="BW56" s="958"/>
      <c r="BX56" s="958"/>
      <c r="BY56" s="1002"/>
      <c r="BZ56" s="982">
        <v>1</v>
      </c>
      <c r="CA56" s="958">
        <v>6</v>
      </c>
      <c r="CB56" s="958">
        <v>54550</v>
      </c>
      <c r="CC56" s="983">
        <v>2676</v>
      </c>
      <c r="CD56" s="984">
        <v>11.92</v>
      </c>
      <c r="CE56" s="958">
        <v>7</v>
      </c>
      <c r="CF56" s="958">
        <v>3083</v>
      </c>
      <c r="CG56" s="1002">
        <v>11529.93</v>
      </c>
      <c r="CH56" s="982">
        <v>41.76</v>
      </c>
      <c r="CI56" s="958">
        <v>0</v>
      </c>
      <c r="CJ56" s="958">
        <v>23379</v>
      </c>
      <c r="CK56" s="1002">
        <v>36714.47</v>
      </c>
      <c r="CL56" s="958">
        <v>66</v>
      </c>
      <c r="CM56" s="958">
        <v>18</v>
      </c>
      <c r="CN56" s="1002">
        <v>3976</v>
      </c>
      <c r="CO56" s="1002">
        <v>71396</v>
      </c>
      <c r="CP56" s="982"/>
      <c r="CQ56" s="958"/>
      <c r="CR56" s="958"/>
      <c r="CS56" s="1002"/>
    </row>
    <row r="57" spans="1:97" ht="16.5">
      <c r="A57" s="957" t="s">
        <v>428</v>
      </c>
      <c r="B57" s="1003">
        <v>92</v>
      </c>
      <c r="C57" s="958">
        <v>140</v>
      </c>
      <c r="D57" s="1006">
        <v>12270</v>
      </c>
      <c r="E57" s="1008">
        <v>233400</v>
      </c>
      <c r="F57" s="984"/>
      <c r="G57" s="958"/>
      <c r="H57" s="958"/>
      <c r="I57" s="1002"/>
      <c r="J57" s="982">
        <v>19</v>
      </c>
      <c r="K57" s="958">
        <v>7</v>
      </c>
      <c r="L57" s="958">
        <v>13382</v>
      </c>
      <c r="M57" s="1002">
        <v>20629</v>
      </c>
      <c r="N57" s="982"/>
      <c r="O57" s="958"/>
      <c r="P57" s="958"/>
      <c r="Q57" s="983"/>
      <c r="R57" s="984"/>
      <c r="S57" s="958"/>
      <c r="T57" s="958"/>
      <c r="U57" s="1002"/>
      <c r="V57" s="982">
        <v>2.6</v>
      </c>
      <c r="W57" s="958"/>
      <c r="X57" s="958">
        <v>3</v>
      </c>
      <c r="Y57" s="1002">
        <v>415.5</v>
      </c>
      <c r="Z57" s="982"/>
      <c r="AA57" s="958"/>
      <c r="AB57" s="958"/>
      <c r="AC57" s="1002"/>
      <c r="AD57" s="982">
        <v>0.3</v>
      </c>
      <c r="AE57" s="958"/>
      <c r="AF57" s="958">
        <v>413</v>
      </c>
      <c r="AG57" s="1002">
        <v>9.82</v>
      </c>
      <c r="AH57" s="982"/>
      <c r="AI57" s="958"/>
      <c r="AJ57" s="958"/>
      <c r="AK57" s="1002"/>
      <c r="AL57" s="982">
        <v>28</v>
      </c>
      <c r="AM57" s="958"/>
      <c r="AN57" s="958">
        <v>2112</v>
      </c>
      <c r="AO57" s="1002">
        <v>99783</v>
      </c>
      <c r="AP57" s="982"/>
      <c r="AQ57" s="958"/>
      <c r="AR57" s="958"/>
      <c r="AS57" s="1002"/>
      <c r="AT57" s="982">
        <v>1</v>
      </c>
      <c r="AU57" s="958">
        <v>1</v>
      </c>
      <c r="AV57" s="958">
        <v>7</v>
      </c>
      <c r="AW57" s="1002">
        <v>746</v>
      </c>
      <c r="AX57" s="982">
        <v>0</v>
      </c>
      <c r="AY57" s="958">
        <v>0</v>
      </c>
      <c r="AZ57" s="958">
        <v>0</v>
      </c>
      <c r="BA57" s="1002">
        <v>0</v>
      </c>
      <c r="BB57" s="982"/>
      <c r="BC57" s="958"/>
      <c r="BD57" s="958"/>
      <c r="BE57" s="1002"/>
      <c r="BF57" s="982">
        <v>22.57</v>
      </c>
      <c r="BG57" s="958">
        <v>8</v>
      </c>
      <c r="BH57" s="958">
        <v>-3386</v>
      </c>
      <c r="BI57" s="1002">
        <v>28874.26</v>
      </c>
      <c r="BJ57" s="982"/>
      <c r="BK57" s="958"/>
      <c r="BL57" s="958"/>
      <c r="BM57" s="1002"/>
      <c r="BN57" s="982"/>
      <c r="BO57" s="958"/>
      <c r="BP57" s="958"/>
      <c r="BQ57" s="1002"/>
      <c r="BR57" s="982">
        <v>4</v>
      </c>
      <c r="BS57" s="958"/>
      <c r="BT57" s="958">
        <v>-2</v>
      </c>
      <c r="BU57" s="1002">
        <v>-1</v>
      </c>
      <c r="BV57" s="982"/>
      <c r="BW57" s="958"/>
      <c r="BX57" s="958"/>
      <c r="BY57" s="1002"/>
      <c r="BZ57" s="982">
        <v>1</v>
      </c>
      <c r="CA57" s="958">
        <v>12</v>
      </c>
      <c r="CB57" s="958">
        <v>39444</v>
      </c>
      <c r="CC57" s="983">
        <v>2403</v>
      </c>
      <c r="CD57" s="984">
        <v>16.27</v>
      </c>
      <c r="CE57" s="958">
        <v>4</v>
      </c>
      <c r="CF57" s="958">
        <v>4185</v>
      </c>
      <c r="CG57" s="1002">
        <v>22376.29</v>
      </c>
      <c r="CH57" s="982">
        <v>49.35</v>
      </c>
      <c r="CI57" s="958">
        <v>3</v>
      </c>
      <c r="CJ57" s="958">
        <v>23543</v>
      </c>
      <c r="CK57" s="1002">
        <v>40056.15</v>
      </c>
      <c r="CL57" s="958">
        <v>29</v>
      </c>
      <c r="CM57" s="958">
        <v>18</v>
      </c>
      <c r="CN57" s="1002">
        <v>3425</v>
      </c>
      <c r="CO57" s="1002">
        <v>27727</v>
      </c>
      <c r="CP57" s="982"/>
      <c r="CQ57" s="958"/>
      <c r="CR57" s="958"/>
      <c r="CS57" s="1002"/>
    </row>
    <row r="58" spans="1:97" ht="16.5">
      <c r="A58" s="957" t="s">
        <v>429</v>
      </c>
      <c r="B58" s="1003">
        <v>105</v>
      </c>
      <c r="C58" s="958">
        <v>120</v>
      </c>
      <c r="D58" s="1006">
        <v>16153</v>
      </c>
      <c r="E58" s="1008">
        <v>226012</v>
      </c>
      <c r="F58" s="984"/>
      <c r="G58" s="958"/>
      <c r="H58" s="958"/>
      <c r="I58" s="1002"/>
      <c r="J58" s="982">
        <v>21</v>
      </c>
      <c r="K58" s="958">
        <v>5</v>
      </c>
      <c r="L58" s="958">
        <v>1583</v>
      </c>
      <c r="M58" s="1002">
        <v>13348</v>
      </c>
      <c r="N58" s="982"/>
      <c r="O58" s="958"/>
      <c r="P58" s="958"/>
      <c r="Q58" s="983"/>
      <c r="R58" s="984"/>
      <c r="S58" s="958"/>
      <c r="T58" s="958"/>
      <c r="U58" s="1002"/>
      <c r="V58" s="982">
        <v>1.2</v>
      </c>
      <c r="W58" s="958"/>
      <c r="X58" s="958">
        <v>1</v>
      </c>
      <c r="Y58" s="1002">
        <v>175</v>
      </c>
      <c r="Z58" s="982"/>
      <c r="AA58" s="958"/>
      <c r="AB58" s="958"/>
      <c r="AC58" s="1002"/>
      <c r="AD58" s="982">
        <v>0</v>
      </c>
      <c r="AE58" s="958"/>
      <c r="AF58" s="958">
        <v>2594</v>
      </c>
      <c r="AG58" s="1002">
        <v>30.33</v>
      </c>
      <c r="AH58" s="982"/>
      <c r="AI58" s="958"/>
      <c r="AJ58" s="958"/>
      <c r="AK58" s="1002"/>
      <c r="AL58" s="982">
        <v>16</v>
      </c>
      <c r="AM58" s="958">
        <v>3</v>
      </c>
      <c r="AN58" s="958">
        <v>736</v>
      </c>
      <c r="AO58" s="1002">
        <v>23288</v>
      </c>
      <c r="AP58" s="982"/>
      <c r="AQ58" s="958"/>
      <c r="AR58" s="958"/>
      <c r="AS58" s="1002"/>
      <c r="AT58" s="982">
        <v>25.5</v>
      </c>
      <c r="AU58" s="958">
        <v>4</v>
      </c>
      <c r="AV58" s="958">
        <v>348</v>
      </c>
      <c r="AW58" s="1002">
        <v>34160.1</v>
      </c>
      <c r="AX58" s="982">
        <v>0</v>
      </c>
      <c r="AY58" s="958">
        <v>0</v>
      </c>
      <c r="AZ58" s="958">
        <v>0</v>
      </c>
      <c r="BA58" s="1002">
        <v>0</v>
      </c>
      <c r="BB58" s="982"/>
      <c r="BC58" s="958"/>
      <c r="BD58" s="958"/>
      <c r="BE58" s="1002"/>
      <c r="BF58" s="982">
        <v>19.26</v>
      </c>
      <c r="BG58" s="958">
        <v>9</v>
      </c>
      <c r="BH58" s="958">
        <v>1603</v>
      </c>
      <c r="BI58" s="1002">
        <v>21024.97</v>
      </c>
      <c r="BJ58" s="982"/>
      <c r="BK58" s="958"/>
      <c r="BL58" s="958"/>
      <c r="BM58" s="1002"/>
      <c r="BN58" s="982"/>
      <c r="BO58" s="958"/>
      <c r="BP58" s="958"/>
      <c r="BQ58" s="1002"/>
      <c r="BR58" s="982">
        <v>9</v>
      </c>
      <c r="BS58" s="958"/>
      <c r="BT58" s="958">
        <v>-4</v>
      </c>
      <c r="BU58" s="1002"/>
      <c r="BV58" s="982"/>
      <c r="BW58" s="958"/>
      <c r="BX58" s="958"/>
      <c r="BY58" s="1002"/>
      <c r="BZ58" s="982">
        <v>1</v>
      </c>
      <c r="CA58" s="958">
        <v>15</v>
      </c>
      <c r="CB58" s="958">
        <v>30458</v>
      </c>
      <c r="CC58" s="983">
        <v>2020</v>
      </c>
      <c r="CD58" s="984">
        <v>10.99</v>
      </c>
      <c r="CE58" s="958">
        <v>4</v>
      </c>
      <c r="CF58" s="958">
        <v>7009</v>
      </c>
      <c r="CG58" s="1002">
        <v>16207.9</v>
      </c>
      <c r="CH58" s="982">
        <v>28.27</v>
      </c>
      <c r="CI58" s="958">
        <v>1</v>
      </c>
      <c r="CJ58" s="958">
        <v>15621</v>
      </c>
      <c r="CK58" s="1002">
        <v>31744.33</v>
      </c>
      <c r="CL58" s="958">
        <v>31</v>
      </c>
      <c r="CM58" s="958">
        <v>13</v>
      </c>
      <c r="CN58" s="1002">
        <v>2046</v>
      </c>
      <c r="CO58" s="1002">
        <v>34476</v>
      </c>
      <c r="CP58" s="982"/>
      <c r="CQ58" s="958"/>
      <c r="CR58" s="958"/>
      <c r="CS58" s="1002"/>
    </row>
    <row r="59" spans="1:97" ht="16.5">
      <c r="A59" s="957" t="s">
        <v>430</v>
      </c>
      <c r="B59" s="1009">
        <v>14647</v>
      </c>
      <c r="C59" s="958">
        <v>1442</v>
      </c>
      <c r="D59" s="1004">
        <v>631341</v>
      </c>
      <c r="E59" s="1008">
        <v>11040969</v>
      </c>
      <c r="F59" s="984"/>
      <c r="G59" s="960"/>
      <c r="H59" s="958"/>
      <c r="I59" s="1002"/>
      <c r="J59" s="982">
        <v>5568</v>
      </c>
      <c r="K59" s="958">
        <v>91</v>
      </c>
      <c r="L59" s="958">
        <v>382303</v>
      </c>
      <c r="M59" s="1002">
        <v>1810496</v>
      </c>
      <c r="N59" s="982"/>
      <c r="O59" s="958"/>
      <c r="P59" s="958"/>
      <c r="Q59" s="983"/>
      <c r="R59" s="984"/>
      <c r="S59" s="958"/>
      <c r="T59" s="958"/>
      <c r="U59" s="1002"/>
      <c r="V59" s="982">
        <v>0.3</v>
      </c>
      <c r="W59" s="958"/>
      <c r="X59" s="958"/>
      <c r="Y59" s="1002">
        <v>0.4</v>
      </c>
      <c r="Z59" s="982"/>
      <c r="AA59" s="958"/>
      <c r="AB59" s="958"/>
      <c r="AC59" s="1002"/>
      <c r="AD59" s="982">
        <v>28.6</v>
      </c>
      <c r="AE59" s="958">
        <v>26</v>
      </c>
      <c r="AF59" s="958">
        <v>55197</v>
      </c>
      <c r="AG59" s="1002">
        <v>6919.78</v>
      </c>
      <c r="AH59" s="982">
        <v>10553.7</v>
      </c>
      <c r="AI59" s="958">
        <v>27</v>
      </c>
      <c r="AJ59" s="958">
        <v>1538917</v>
      </c>
      <c r="AK59" s="1002">
        <v>2954067.03</v>
      </c>
      <c r="AL59" s="982">
        <v>8706</v>
      </c>
      <c r="AM59" s="958">
        <v>26</v>
      </c>
      <c r="AN59" s="958">
        <v>77957</v>
      </c>
      <c r="AO59" s="1002">
        <v>1801195</v>
      </c>
      <c r="AP59" s="982"/>
      <c r="AQ59" s="958"/>
      <c r="AR59" s="958"/>
      <c r="AS59" s="1002"/>
      <c r="AT59" s="982"/>
      <c r="AU59" s="958"/>
      <c r="AV59" s="958"/>
      <c r="AW59" s="1002"/>
      <c r="AX59" s="982">
        <v>0.03</v>
      </c>
      <c r="AY59" s="958">
        <v>1</v>
      </c>
      <c r="AZ59" s="958">
        <v>5614</v>
      </c>
      <c r="BA59" s="1002">
        <v>3.02</v>
      </c>
      <c r="BB59" s="982"/>
      <c r="BC59" s="958"/>
      <c r="BD59" s="958"/>
      <c r="BE59" s="1002"/>
      <c r="BF59" s="982">
        <v>107092.47</v>
      </c>
      <c r="BG59" s="958">
        <v>291</v>
      </c>
      <c r="BH59" s="958">
        <v>305119</v>
      </c>
      <c r="BI59" s="1002">
        <v>5008078.85</v>
      </c>
      <c r="BJ59" s="982"/>
      <c r="BK59" s="958"/>
      <c r="BL59" s="958"/>
      <c r="BM59" s="1002"/>
      <c r="BN59" s="982"/>
      <c r="BO59" s="958"/>
      <c r="BP59" s="958"/>
      <c r="BQ59" s="1002"/>
      <c r="BR59" s="982">
        <v>16851</v>
      </c>
      <c r="BS59" s="958">
        <v>24</v>
      </c>
      <c r="BT59" s="958">
        <v>23788</v>
      </c>
      <c r="BU59" s="1002">
        <v>-865</v>
      </c>
      <c r="BV59" s="982"/>
      <c r="BW59" s="958"/>
      <c r="BX59" s="958"/>
      <c r="BY59" s="1002"/>
      <c r="BZ59" s="982">
        <v>361</v>
      </c>
      <c r="CA59" s="958">
        <v>230</v>
      </c>
      <c r="CB59" s="958">
        <v>10046312</v>
      </c>
      <c r="CC59" s="983">
        <v>323192</v>
      </c>
      <c r="CD59" s="984">
        <v>11299.62</v>
      </c>
      <c r="CE59" s="958">
        <v>117</v>
      </c>
      <c r="CF59" s="958">
        <v>2794214</v>
      </c>
      <c r="CG59" s="1002">
        <v>2445661.43</v>
      </c>
      <c r="CH59" s="982">
        <v>11994.83</v>
      </c>
      <c r="CI59" s="958">
        <v>12</v>
      </c>
      <c r="CJ59" s="958">
        <v>44376</v>
      </c>
      <c r="CK59" s="1002">
        <v>8379210.45</v>
      </c>
      <c r="CL59" s="958">
        <v>14700</v>
      </c>
      <c r="CM59" s="958">
        <v>244</v>
      </c>
      <c r="CN59" s="1002">
        <v>426464</v>
      </c>
      <c r="CO59" s="1002">
        <v>7261170</v>
      </c>
      <c r="CP59" s="982"/>
      <c r="CQ59" s="958"/>
      <c r="CR59" s="958"/>
      <c r="CS59" s="1002"/>
    </row>
    <row r="60" spans="1:97" ht="16.5">
      <c r="A60" s="956" t="s">
        <v>444</v>
      </c>
      <c r="B60" s="984"/>
      <c r="C60" s="958"/>
      <c r="D60" s="958"/>
      <c r="E60" s="1002"/>
      <c r="F60" s="984"/>
      <c r="G60" s="958"/>
      <c r="H60" s="958"/>
      <c r="I60" s="1002"/>
      <c r="J60" s="961"/>
      <c r="K60" s="958"/>
      <c r="L60" s="958"/>
      <c r="M60" s="1002"/>
      <c r="N60" s="982"/>
      <c r="O60" s="958"/>
      <c r="P60" s="958"/>
      <c r="Q60" s="983"/>
      <c r="R60" s="984"/>
      <c r="S60" s="958"/>
      <c r="T60" s="958"/>
      <c r="U60" s="1002"/>
      <c r="V60" s="982"/>
      <c r="W60" s="958"/>
      <c r="X60" s="958"/>
      <c r="Y60" s="1002"/>
      <c r="Z60" s="982"/>
      <c r="AA60" s="958"/>
      <c r="AB60" s="958"/>
      <c r="AC60" s="1002"/>
      <c r="AD60" s="982"/>
      <c r="AE60" s="958"/>
      <c r="AF60" s="958"/>
      <c r="AG60" s="1002"/>
      <c r="AH60" s="982"/>
      <c r="AI60" s="958"/>
      <c r="AJ60" s="958"/>
      <c r="AK60" s="1002"/>
      <c r="AL60" s="982"/>
      <c r="AM60" s="958"/>
      <c r="AN60" s="958"/>
      <c r="AO60" s="1002"/>
      <c r="AP60" s="982"/>
      <c r="AQ60" s="958"/>
      <c r="AR60" s="958"/>
      <c r="AS60" s="1002"/>
      <c r="AT60" s="982"/>
      <c r="AU60" s="958"/>
      <c r="AV60" s="958"/>
      <c r="AW60" s="1002"/>
      <c r="AX60" s="982"/>
      <c r="AY60" s="958"/>
      <c r="AZ60" s="958"/>
      <c r="BA60" s="1002"/>
      <c r="BB60" s="982"/>
      <c r="BC60" s="958"/>
      <c r="BD60" s="958"/>
      <c r="BE60" s="1002"/>
      <c r="BF60" s="982"/>
      <c r="BG60" s="958"/>
      <c r="BH60" s="958"/>
      <c r="BI60" s="1002"/>
      <c r="BJ60" s="982"/>
      <c r="BK60" s="958"/>
      <c r="BL60" s="958"/>
      <c r="BM60" s="1002"/>
      <c r="BN60" s="982"/>
      <c r="BO60" s="958"/>
      <c r="BP60" s="958"/>
      <c r="BQ60" s="1002"/>
      <c r="BR60" s="982"/>
      <c r="BS60" s="958"/>
      <c r="BT60" s="958"/>
      <c r="BU60" s="1002"/>
      <c r="BV60" s="982"/>
      <c r="BW60" s="958"/>
      <c r="BX60" s="958"/>
      <c r="BY60" s="1002"/>
      <c r="BZ60" s="982"/>
      <c r="CA60" s="958"/>
      <c r="CB60" s="958"/>
      <c r="CC60" s="983"/>
      <c r="CD60" s="984"/>
      <c r="CE60" s="958"/>
      <c r="CF60" s="958"/>
      <c r="CG60" s="1002"/>
      <c r="CH60" s="982"/>
      <c r="CI60" s="958"/>
      <c r="CJ60" s="958"/>
      <c r="CK60" s="1002"/>
      <c r="CL60" s="982"/>
      <c r="CM60" s="958"/>
      <c r="CN60" s="958"/>
      <c r="CO60" s="1002"/>
      <c r="CP60" s="982"/>
      <c r="CQ60" s="958"/>
      <c r="CR60" s="958"/>
      <c r="CS60" s="1002"/>
    </row>
    <row r="61" spans="1:97" ht="16.5">
      <c r="A61" s="957" t="s">
        <v>424</v>
      </c>
      <c r="B61" s="1005"/>
      <c r="C61" s="958"/>
      <c r="D61" s="1006"/>
      <c r="E61" s="1002"/>
      <c r="F61" s="962"/>
      <c r="G61" s="958"/>
      <c r="H61" s="958"/>
      <c r="I61" s="1002"/>
      <c r="J61" s="982"/>
      <c r="K61" s="958"/>
      <c r="L61" s="958"/>
      <c r="M61" s="1002"/>
      <c r="N61" s="982"/>
      <c r="O61" s="958"/>
      <c r="P61" s="958"/>
      <c r="Q61" s="983"/>
      <c r="R61" s="984"/>
      <c r="S61" s="958"/>
      <c r="T61" s="958"/>
      <c r="U61" s="1002"/>
      <c r="V61" s="982"/>
      <c r="W61" s="958"/>
      <c r="X61" s="958"/>
      <c r="Y61" s="1002"/>
      <c r="Z61" s="982"/>
      <c r="AA61" s="958"/>
      <c r="AB61" s="958"/>
      <c r="AC61" s="1002"/>
      <c r="AD61" s="982"/>
      <c r="AE61" s="958"/>
      <c r="AF61" s="958"/>
      <c r="AG61" s="1002"/>
      <c r="AH61" s="982"/>
      <c r="AI61" s="958"/>
      <c r="AJ61" s="958"/>
      <c r="AK61" s="1002"/>
      <c r="AL61" s="982"/>
      <c r="AM61" s="958"/>
      <c r="AN61" s="958"/>
      <c r="AO61" s="1002"/>
      <c r="AP61" s="982"/>
      <c r="AQ61" s="958"/>
      <c r="AR61" s="958"/>
      <c r="AS61" s="1002"/>
      <c r="AT61" s="982"/>
      <c r="AU61" s="958"/>
      <c r="AV61" s="958"/>
      <c r="AW61" s="1002"/>
      <c r="AX61" s="982"/>
      <c r="AY61" s="958"/>
      <c r="AZ61" s="958"/>
      <c r="BA61" s="1002"/>
      <c r="BB61" s="982"/>
      <c r="BC61" s="958"/>
      <c r="BD61" s="958"/>
      <c r="BE61" s="1002"/>
      <c r="BF61" s="982">
        <v>0.01</v>
      </c>
      <c r="BG61" s="958">
        <v>26</v>
      </c>
      <c r="BH61" s="958">
        <v>70823</v>
      </c>
      <c r="BI61" s="1002">
        <v>-373292.49</v>
      </c>
      <c r="BJ61" s="982"/>
      <c r="BK61" s="958"/>
      <c r="BL61" s="958"/>
      <c r="BM61" s="1002"/>
      <c r="BN61" s="982"/>
      <c r="BO61" s="958"/>
      <c r="BP61" s="958"/>
      <c r="BQ61" s="1002"/>
      <c r="BR61" s="982"/>
      <c r="BS61" s="958"/>
      <c r="BT61" s="958"/>
      <c r="BU61" s="1002"/>
      <c r="BV61" s="982"/>
      <c r="BW61" s="958"/>
      <c r="BX61" s="958"/>
      <c r="BY61" s="1002"/>
      <c r="BZ61" s="982"/>
      <c r="CA61" s="958"/>
      <c r="CB61" s="958"/>
      <c r="CC61" s="983"/>
      <c r="CD61" s="984"/>
      <c r="CE61" s="958"/>
      <c r="CF61" s="958"/>
      <c r="CG61" s="1002"/>
      <c r="CH61" s="982"/>
      <c r="CI61" s="958"/>
      <c r="CJ61" s="958"/>
      <c r="CK61" s="1002"/>
      <c r="CL61" s="982"/>
      <c r="CM61" s="958"/>
      <c r="CN61" s="958"/>
      <c r="CO61" s="1002"/>
      <c r="CP61" s="982"/>
      <c r="CQ61" s="958"/>
      <c r="CR61" s="958"/>
      <c r="CS61" s="1002"/>
    </row>
    <row r="62" spans="1:97" ht="16.5">
      <c r="A62" s="957" t="s">
        <v>425</v>
      </c>
      <c r="B62" s="1005"/>
      <c r="C62" s="958"/>
      <c r="D62" s="1006"/>
      <c r="E62" s="1002"/>
      <c r="F62" s="984"/>
      <c r="G62" s="958"/>
      <c r="H62" s="958"/>
      <c r="I62" s="959"/>
      <c r="J62" s="961"/>
      <c r="K62" s="958"/>
      <c r="L62" s="958"/>
      <c r="M62" s="1002"/>
      <c r="N62" s="982"/>
      <c r="O62" s="958"/>
      <c r="P62" s="958"/>
      <c r="Q62" s="983"/>
      <c r="R62" s="984"/>
      <c r="S62" s="958"/>
      <c r="T62" s="958"/>
      <c r="U62" s="1002"/>
      <c r="V62" s="982"/>
      <c r="W62" s="958"/>
      <c r="X62" s="958"/>
      <c r="Y62" s="1002"/>
      <c r="Z62" s="982"/>
      <c r="AA62" s="958"/>
      <c r="AB62" s="958"/>
      <c r="AC62" s="1002"/>
      <c r="AD62" s="982"/>
      <c r="AE62" s="958"/>
      <c r="AF62" s="958"/>
      <c r="AG62" s="1002"/>
      <c r="AH62" s="982"/>
      <c r="AI62" s="958"/>
      <c r="AJ62" s="958"/>
      <c r="AK62" s="1002"/>
      <c r="AL62" s="982"/>
      <c r="AM62" s="958"/>
      <c r="AN62" s="958"/>
      <c r="AO62" s="1002"/>
      <c r="AP62" s="982"/>
      <c r="AQ62" s="958"/>
      <c r="AR62" s="958"/>
      <c r="AS62" s="1002"/>
      <c r="AT62" s="982"/>
      <c r="AU62" s="958"/>
      <c r="AV62" s="958"/>
      <c r="AW62" s="1002"/>
      <c r="AX62" s="982"/>
      <c r="AY62" s="958"/>
      <c r="AZ62" s="958"/>
      <c r="BA62" s="1002"/>
      <c r="BB62" s="982"/>
      <c r="BC62" s="958"/>
      <c r="BD62" s="958"/>
      <c r="BE62" s="1002"/>
      <c r="BF62" s="982">
        <v>2.73</v>
      </c>
      <c r="BG62" s="958"/>
      <c r="BH62" s="958">
        <v>-4</v>
      </c>
      <c r="BI62" s="1002">
        <v>-50.58</v>
      </c>
      <c r="BJ62" s="982"/>
      <c r="BK62" s="958"/>
      <c r="BL62" s="958"/>
      <c r="BM62" s="1002"/>
      <c r="BN62" s="982"/>
      <c r="BO62" s="958"/>
      <c r="BP62" s="958"/>
      <c r="BQ62" s="1002"/>
      <c r="BR62" s="982"/>
      <c r="BS62" s="958"/>
      <c r="BT62" s="958"/>
      <c r="BU62" s="1002"/>
      <c r="BV62" s="982"/>
      <c r="BW62" s="958"/>
      <c r="BX62" s="958"/>
      <c r="BY62" s="1002"/>
      <c r="BZ62" s="982"/>
      <c r="CA62" s="958"/>
      <c r="CB62" s="958"/>
      <c r="CC62" s="983"/>
      <c r="CD62" s="984"/>
      <c r="CE62" s="958"/>
      <c r="CF62" s="958"/>
      <c r="CG62" s="1002"/>
      <c r="CH62" s="982"/>
      <c r="CI62" s="958"/>
      <c r="CJ62" s="958"/>
      <c r="CK62" s="1002"/>
      <c r="CL62" s="982"/>
      <c r="CM62" s="958"/>
      <c r="CN62" s="958"/>
      <c r="CO62" s="1002"/>
      <c r="CP62" s="982"/>
      <c r="CQ62" s="958"/>
      <c r="CR62" s="958"/>
      <c r="CS62" s="1002"/>
    </row>
    <row r="63" spans="1:97" ht="16.5">
      <c r="A63" s="957" t="s">
        <v>426</v>
      </c>
      <c r="B63" s="1005"/>
      <c r="C63" s="958"/>
      <c r="D63" s="1006"/>
      <c r="E63" s="1002"/>
      <c r="F63" s="984"/>
      <c r="G63" s="960"/>
      <c r="H63" s="958"/>
      <c r="I63" s="1002"/>
      <c r="J63" s="961"/>
      <c r="K63" s="958"/>
      <c r="L63" s="958"/>
      <c r="M63" s="1002"/>
      <c r="N63" s="982"/>
      <c r="O63" s="958"/>
      <c r="P63" s="958"/>
      <c r="Q63" s="983"/>
      <c r="R63" s="984"/>
      <c r="S63" s="958"/>
      <c r="T63" s="958"/>
      <c r="U63" s="1002"/>
      <c r="V63" s="982"/>
      <c r="W63" s="958"/>
      <c r="X63" s="958"/>
      <c r="Y63" s="1002"/>
      <c r="Z63" s="982"/>
      <c r="AA63" s="958"/>
      <c r="AB63" s="958"/>
      <c r="AC63" s="1002"/>
      <c r="AD63" s="982"/>
      <c r="AE63" s="958"/>
      <c r="AF63" s="958"/>
      <c r="AG63" s="1002"/>
      <c r="AH63" s="982"/>
      <c r="AI63" s="958"/>
      <c r="AJ63" s="958"/>
      <c r="AK63" s="1002"/>
      <c r="AL63" s="982"/>
      <c r="AM63" s="958"/>
      <c r="AN63" s="958"/>
      <c r="AO63" s="1002"/>
      <c r="AP63" s="982"/>
      <c r="AQ63" s="958"/>
      <c r="AR63" s="958"/>
      <c r="AS63" s="1002"/>
      <c r="AT63" s="982"/>
      <c r="AU63" s="958"/>
      <c r="AV63" s="958"/>
      <c r="AW63" s="1002"/>
      <c r="AX63" s="982"/>
      <c r="AY63" s="958"/>
      <c r="AZ63" s="958"/>
      <c r="BA63" s="1002"/>
      <c r="BB63" s="982"/>
      <c r="BC63" s="958"/>
      <c r="BD63" s="958"/>
      <c r="BE63" s="1002"/>
      <c r="BF63" s="982">
        <v>10.1</v>
      </c>
      <c r="BG63" s="958"/>
      <c r="BH63" s="958">
        <v>-2</v>
      </c>
      <c r="BI63" s="1002">
        <v>109.21</v>
      </c>
      <c r="BJ63" s="982"/>
      <c r="BK63" s="958"/>
      <c r="BL63" s="958"/>
      <c r="BM63" s="1002"/>
      <c r="BN63" s="982"/>
      <c r="BO63" s="958"/>
      <c r="BP63" s="958"/>
      <c r="BQ63" s="1002"/>
      <c r="BR63" s="982"/>
      <c r="BS63" s="958"/>
      <c r="BT63" s="958"/>
      <c r="BU63" s="1002"/>
      <c r="BV63" s="982"/>
      <c r="BW63" s="958"/>
      <c r="BX63" s="958"/>
      <c r="BY63" s="1002"/>
      <c r="BZ63" s="982"/>
      <c r="CA63" s="958"/>
      <c r="CB63" s="958"/>
      <c r="CC63" s="983"/>
      <c r="CD63" s="984"/>
      <c r="CE63" s="958"/>
      <c r="CF63" s="958"/>
      <c r="CG63" s="1002"/>
      <c r="CH63" s="982"/>
      <c r="CI63" s="958"/>
      <c r="CJ63" s="958"/>
      <c r="CK63" s="1002"/>
      <c r="CL63" s="982"/>
      <c r="CM63" s="958"/>
      <c r="CN63" s="958"/>
      <c r="CO63" s="1002"/>
      <c r="CP63" s="982"/>
      <c r="CQ63" s="958"/>
      <c r="CR63" s="958"/>
      <c r="CS63" s="1002"/>
    </row>
    <row r="64" spans="1:97" ht="16.5">
      <c r="A64" s="957" t="s">
        <v>427</v>
      </c>
      <c r="B64" s="1005"/>
      <c r="C64" s="958"/>
      <c r="D64" s="1006"/>
      <c r="E64" s="1002"/>
      <c r="F64" s="984"/>
      <c r="G64" s="958"/>
      <c r="H64" s="958"/>
      <c r="I64" s="1002"/>
      <c r="J64" s="982"/>
      <c r="K64" s="958"/>
      <c r="L64" s="958"/>
      <c r="M64" s="1002"/>
      <c r="N64" s="982"/>
      <c r="O64" s="958"/>
      <c r="P64" s="958"/>
      <c r="Q64" s="983"/>
      <c r="R64" s="984"/>
      <c r="S64" s="958"/>
      <c r="T64" s="958"/>
      <c r="U64" s="1002"/>
      <c r="V64" s="982"/>
      <c r="W64" s="958"/>
      <c r="X64" s="958"/>
      <c r="Y64" s="1002"/>
      <c r="Z64" s="982"/>
      <c r="AA64" s="958"/>
      <c r="AB64" s="958"/>
      <c r="AC64" s="1002"/>
      <c r="AD64" s="982"/>
      <c r="AE64" s="958"/>
      <c r="AF64" s="958"/>
      <c r="AG64" s="1002"/>
      <c r="AH64" s="982"/>
      <c r="AI64" s="958"/>
      <c r="AJ64" s="958"/>
      <c r="AK64" s="1002"/>
      <c r="AL64" s="982"/>
      <c r="AM64" s="958"/>
      <c r="AN64" s="958"/>
      <c r="AO64" s="1002"/>
      <c r="AP64" s="982"/>
      <c r="AQ64" s="958"/>
      <c r="AR64" s="958"/>
      <c r="AS64" s="1002"/>
      <c r="AT64" s="982"/>
      <c r="AU64" s="958"/>
      <c r="AV64" s="958"/>
      <c r="AW64" s="1002"/>
      <c r="AX64" s="982"/>
      <c r="AY64" s="958"/>
      <c r="AZ64" s="958"/>
      <c r="BA64" s="1002"/>
      <c r="BB64" s="982"/>
      <c r="BC64" s="958"/>
      <c r="BD64" s="958"/>
      <c r="BE64" s="1002"/>
      <c r="BF64" s="982">
        <v>1.22</v>
      </c>
      <c r="BG64" s="958"/>
      <c r="BH64" s="958"/>
      <c r="BI64" s="1002">
        <v>2.42</v>
      </c>
      <c r="BJ64" s="982"/>
      <c r="BK64" s="958"/>
      <c r="BL64" s="958"/>
      <c r="BM64" s="1002"/>
      <c r="BN64" s="982"/>
      <c r="BO64" s="958"/>
      <c r="BP64" s="958"/>
      <c r="BQ64" s="1002"/>
      <c r="BR64" s="982"/>
      <c r="BS64" s="958"/>
      <c r="BT64" s="958"/>
      <c r="BU64" s="1002"/>
      <c r="BV64" s="982"/>
      <c r="BW64" s="958"/>
      <c r="BX64" s="958"/>
      <c r="BY64" s="1002"/>
      <c r="BZ64" s="982"/>
      <c r="CA64" s="958"/>
      <c r="CB64" s="958"/>
      <c r="CC64" s="983"/>
      <c r="CD64" s="984"/>
      <c r="CE64" s="958"/>
      <c r="CF64" s="958"/>
      <c r="CG64" s="1002"/>
      <c r="CH64" s="982"/>
      <c r="CI64" s="958"/>
      <c r="CJ64" s="958"/>
      <c r="CK64" s="1002"/>
      <c r="CL64" s="982"/>
      <c r="CM64" s="958"/>
      <c r="CN64" s="958"/>
      <c r="CO64" s="1002"/>
      <c r="CP64" s="982"/>
      <c r="CQ64" s="958"/>
      <c r="CR64" s="958"/>
      <c r="CS64" s="1002"/>
    </row>
    <row r="65" spans="1:97" ht="16.5">
      <c r="A65" s="957" t="s">
        <v>428</v>
      </c>
      <c r="B65" s="1005"/>
      <c r="C65" s="958"/>
      <c r="D65" s="1006"/>
      <c r="E65" s="1002"/>
      <c r="F65" s="984"/>
      <c r="G65" s="958"/>
      <c r="H65" s="958"/>
      <c r="I65" s="1002"/>
      <c r="J65" s="982"/>
      <c r="K65" s="958"/>
      <c r="L65" s="958"/>
      <c r="M65" s="1002"/>
      <c r="N65" s="982"/>
      <c r="O65" s="958"/>
      <c r="P65" s="958"/>
      <c r="Q65" s="983"/>
      <c r="R65" s="984"/>
      <c r="S65" s="958"/>
      <c r="T65" s="958"/>
      <c r="U65" s="1002"/>
      <c r="V65" s="982"/>
      <c r="W65" s="958"/>
      <c r="X65" s="958"/>
      <c r="Y65" s="1002"/>
      <c r="Z65" s="982"/>
      <c r="AA65" s="958"/>
      <c r="AB65" s="958"/>
      <c r="AC65" s="1002"/>
      <c r="AD65" s="982"/>
      <c r="AE65" s="958"/>
      <c r="AF65" s="958"/>
      <c r="AG65" s="1002"/>
      <c r="AH65" s="982"/>
      <c r="AI65" s="958"/>
      <c r="AJ65" s="958"/>
      <c r="AK65" s="1002"/>
      <c r="AL65" s="982"/>
      <c r="AM65" s="958"/>
      <c r="AN65" s="958"/>
      <c r="AO65" s="1002"/>
      <c r="AP65" s="982"/>
      <c r="AQ65" s="958"/>
      <c r="AR65" s="958"/>
      <c r="AS65" s="1002"/>
      <c r="AT65" s="982"/>
      <c r="AU65" s="958"/>
      <c r="AV65" s="958"/>
      <c r="AW65" s="1002"/>
      <c r="AX65" s="982"/>
      <c r="AY65" s="958"/>
      <c r="AZ65" s="958"/>
      <c r="BA65" s="1002"/>
      <c r="BB65" s="982"/>
      <c r="BC65" s="958"/>
      <c r="BD65" s="958"/>
      <c r="BE65" s="1002"/>
      <c r="BF65" s="982">
        <v>5.77</v>
      </c>
      <c r="BG65" s="958">
        <v>1</v>
      </c>
      <c r="BH65" s="958">
        <v>-1</v>
      </c>
      <c r="BI65" s="1002">
        <v>-10</v>
      </c>
      <c r="BJ65" s="982"/>
      <c r="BK65" s="958"/>
      <c r="BL65" s="958"/>
      <c r="BM65" s="1002"/>
      <c r="BN65" s="982"/>
      <c r="BO65" s="958"/>
      <c r="BP65" s="958"/>
      <c r="BQ65" s="1002"/>
      <c r="BR65" s="982"/>
      <c r="BS65" s="958"/>
      <c r="BT65" s="958"/>
      <c r="BU65" s="1002"/>
      <c r="BV65" s="982"/>
      <c r="BW65" s="958"/>
      <c r="BX65" s="958"/>
      <c r="BY65" s="1002"/>
      <c r="BZ65" s="982"/>
      <c r="CA65" s="958"/>
      <c r="CB65" s="958"/>
      <c r="CC65" s="983"/>
      <c r="CD65" s="984"/>
      <c r="CE65" s="958"/>
      <c r="CF65" s="958"/>
      <c r="CG65" s="1002"/>
      <c r="CH65" s="982"/>
      <c r="CI65" s="958"/>
      <c r="CJ65" s="958"/>
      <c r="CK65" s="1002"/>
      <c r="CL65" s="982"/>
      <c r="CM65" s="958"/>
      <c r="CN65" s="958"/>
      <c r="CO65" s="1002"/>
      <c r="CP65" s="982"/>
      <c r="CQ65" s="958"/>
      <c r="CR65" s="958"/>
      <c r="CS65" s="1002"/>
    </row>
    <row r="66" spans="1:97" ht="16.5">
      <c r="A66" s="957" t="s">
        <v>429</v>
      </c>
      <c r="B66" s="1005"/>
      <c r="C66" s="958"/>
      <c r="D66" s="1006"/>
      <c r="E66" s="1002"/>
      <c r="F66" s="984"/>
      <c r="G66" s="958"/>
      <c r="H66" s="958"/>
      <c r="I66" s="1002"/>
      <c r="J66" s="982"/>
      <c r="K66" s="958"/>
      <c r="L66" s="958"/>
      <c r="M66" s="1002"/>
      <c r="N66" s="982"/>
      <c r="O66" s="958"/>
      <c r="P66" s="958"/>
      <c r="Q66" s="983"/>
      <c r="R66" s="984"/>
      <c r="S66" s="958"/>
      <c r="T66" s="958"/>
      <c r="U66" s="1002"/>
      <c r="V66" s="982"/>
      <c r="W66" s="958"/>
      <c r="X66" s="958"/>
      <c r="Y66" s="1002"/>
      <c r="Z66" s="982"/>
      <c r="AA66" s="958"/>
      <c r="AB66" s="958"/>
      <c r="AC66" s="1002"/>
      <c r="AD66" s="982"/>
      <c r="AE66" s="958"/>
      <c r="AF66" s="958"/>
      <c r="AG66" s="1002"/>
      <c r="AH66" s="982"/>
      <c r="AI66" s="958"/>
      <c r="AJ66" s="958"/>
      <c r="AK66" s="1002"/>
      <c r="AL66" s="982"/>
      <c r="AM66" s="958"/>
      <c r="AN66" s="958"/>
      <c r="AO66" s="1002"/>
      <c r="AP66" s="982"/>
      <c r="AQ66" s="958"/>
      <c r="AR66" s="958"/>
      <c r="AS66" s="1002"/>
      <c r="AT66" s="982"/>
      <c r="AU66" s="958"/>
      <c r="AV66" s="958"/>
      <c r="AW66" s="1002"/>
      <c r="AX66" s="982"/>
      <c r="AY66" s="958"/>
      <c r="AZ66" s="958"/>
      <c r="BA66" s="1002"/>
      <c r="BB66" s="982"/>
      <c r="BC66" s="958"/>
      <c r="BD66" s="958"/>
      <c r="BE66" s="1002"/>
      <c r="BF66" s="982">
        <v>4.61</v>
      </c>
      <c r="BG66" s="958"/>
      <c r="BH66" s="958">
        <v>1</v>
      </c>
      <c r="BI66" s="1002">
        <v>23.73</v>
      </c>
      <c r="BJ66" s="982"/>
      <c r="BK66" s="958"/>
      <c r="BL66" s="958"/>
      <c r="BM66" s="1002"/>
      <c r="BN66" s="982"/>
      <c r="BO66" s="958"/>
      <c r="BP66" s="958"/>
      <c r="BQ66" s="1002"/>
      <c r="BR66" s="982"/>
      <c r="BS66" s="958"/>
      <c r="BT66" s="958"/>
      <c r="BU66" s="1002"/>
      <c r="BV66" s="982"/>
      <c r="BW66" s="958"/>
      <c r="BX66" s="958"/>
      <c r="BY66" s="1002"/>
      <c r="BZ66" s="982"/>
      <c r="CA66" s="958"/>
      <c r="CB66" s="958"/>
      <c r="CC66" s="983"/>
      <c r="CD66" s="984"/>
      <c r="CE66" s="958"/>
      <c r="CF66" s="958"/>
      <c r="CG66" s="1002"/>
      <c r="CH66" s="982"/>
      <c r="CI66" s="958"/>
      <c r="CJ66" s="958"/>
      <c r="CK66" s="1002"/>
      <c r="CL66" s="982"/>
      <c r="CM66" s="958"/>
      <c r="CN66" s="958"/>
      <c r="CO66" s="1002"/>
      <c r="CP66" s="982"/>
      <c r="CQ66" s="958"/>
      <c r="CR66" s="958"/>
      <c r="CS66" s="1002"/>
    </row>
    <row r="67" spans="1:97" ht="17.25" thickBot="1">
      <c r="A67" s="963" t="s">
        <v>430</v>
      </c>
      <c r="B67" s="1010"/>
      <c r="C67" s="986"/>
      <c r="D67" s="1011"/>
      <c r="E67" s="1012"/>
      <c r="F67" s="1013"/>
      <c r="G67" s="1014"/>
      <c r="H67" s="986"/>
      <c r="I67" s="1015"/>
      <c r="J67" s="1016"/>
      <c r="K67" s="986"/>
      <c r="L67" s="986"/>
      <c r="M67" s="1012"/>
      <c r="N67" s="985"/>
      <c r="O67" s="986"/>
      <c r="P67" s="986"/>
      <c r="Q67" s="987"/>
      <c r="R67" s="1017"/>
      <c r="S67" s="986"/>
      <c r="T67" s="986"/>
      <c r="U67" s="1012"/>
      <c r="V67" s="985"/>
      <c r="W67" s="986"/>
      <c r="X67" s="986"/>
      <c r="Y67" s="1012"/>
      <c r="Z67" s="985"/>
      <c r="AA67" s="986"/>
      <c r="AB67" s="986"/>
      <c r="AC67" s="1012"/>
      <c r="AD67" s="985"/>
      <c r="AE67" s="986"/>
      <c r="AF67" s="986"/>
      <c r="AG67" s="1012"/>
      <c r="AH67" s="985"/>
      <c r="AI67" s="986"/>
      <c r="AJ67" s="986"/>
      <c r="AK67" s="1012"/>
      <c r="AL67" s="985"/>
      <c r="AM67" s="986"/>
      <c r="AN67" s="986"/>
      <c r="AO67" s="1012"/>
      <c r="AP67" s="985"/>
      <c r="AQ67" s="986"/>
      <c r="AR67" s="986"/>
      <c r="AS67" s="1012"/>
      <c r="AT67" s="985"/>
      <c r="AU67" s="986"/>
      <c r="AV67" s="986"/>
      <c r="AW67" s="1012"/>
      <c r="AX67" s="985"/>
      <c r="AY67" s="986"/>
      <c r="AZ67" s="986"/>
      <c r="BA67" s="1012"/>
      <c r="BB67" s="985"/>
      <c r="BC67" s="986"/>
      <c r="BD67" s="986"/>
      <c r="BE67" s="1012"/>
      <c r="BF67" s="985">
        <v>21482.37</v>
      </c>
      <c r="BG67" s="986">
        <v>10</v>
      </c>
      <c r="BH67" s="986">
        <v>25750</v>
      </c>
      <c r="BI67" s="1012">
        <v>-794.13</v>
      </c>
      <c r="BJ67" s="985"/>
      <c r="BK67" s="986"/>
      <c r="BL67" s="986"/>
      <c r="BM67" s="1012"/>
      <c r="BN67" s="985"/>
      <c r="BO67" s="986"/>
      <c r="BP67" s="986"/>
      <c r="BQ67" s="1012"/>
      <c r="BR67" s="985"/>
      <c r="BS67" s="986"/>
      <c r="BT67" s="986"/>
      <c r="BU67" s="1012"/>
      <c r="BV67" s="985"/>
      <c r="BW67" s="986"/>
      <c r="BX67" s="986"/>
      <c r="BY67" s="1012"/>
      <c r="BZ67" s="985"/>
      <c r="CA67" s="986"/>
      <c r="CB67" s="986"/>
      <c r="CC67" s="987"/>
      <c r="CD67" s="1017"/>
      <c r="CE67" s="986"/>
      <c r="CF67" s="986"/>
      <c r="CG67" s="1012"/>
      <c r="CH67" s="985"/>
      <c r="CI67" s="986"/>
      <c r="CJ67" s="986"/>
      <c r="CK67" s="1012"/>
      <c r="CL67" s="985"/>
      <c r="CM67" s="986"/>
      <c r="CN67" s="986"/>
      <c r="CO67" s="1012"/>
      <c r="CP67" s="985"/>
      <c r="CQ67" s="986"/>
      <c r="CR67" s="986"/>
      <c r="CS67" s="1012"/>
    </row>
    <row r="68" spans="3:10" ht="16.5">
      <c r="C68" s="1018"/>
      <c r="E68" s="1018"/>
      <c r="F68" s="1018"/>
      <c r="G68" s="1018"/>
      <c r="I68" s="1018"/>
      <c r="J68" s="1018"/>
    </row>
    <row r="69" spans="3:10" ht="16.5">
      <c r="C69" s="1018"/>
      <c r="E69" s="1018"/>
      <c r="F69" s="1018"/>
      <c r="G69" s="1018"/>
      <c r="I69" s="1018"/>
      <c r="J69" s="1018"/>
    </row>
    <row r="70" spans="3:10" ht="16.5">
      <c r="C70" s="1019"/>
      <c r="E70" s="1019"/>
      <c r="F70" s="1018"/>
      <c r="G70" s="1018"/>
      <c r="I70" s="1018"/>
      <c r="J70" s="1018"/>
    </row>
    <row r="71" spans="3:10" ht="16.5">
      <c r="C71" s="1018"/>
      <c r="E71" s="1019"/>
      <c r="F71" s="1018"/>
      <c r="G71" s="1018"/>
      <c r="I71" s="1018"/>
      <c r="J71" s="1018"/>
    </row>
    <row r="72" spans="3:10" ht="16.5">
      <c r="C72" s="1019"/>
      <c r="E72" s="1019"/>
      <c r="F72" s="1019"/>
      <c r="H72" s="1019"/>
      <c r="I72" s="1019"/>
      <c r="J72" s="1019"/>
    </row>
    <row r="73" spans="3:10" ht="16.5">
      <c r="C73" s="1018"/>
      <c r="E73" s="1019"/>
      <c r="F73" s="1018"/>
      <c r="G73" s="1018"/>
      <c r="I73" s="1018"/>
      <c r="J73" s="1018"/>
    </row>
    <row r="75" spans="3:10" ht="16.5">
      <c r="C75" s="1018"/>
      <c r="E75" s="1018"/>
      <c r="G75" s="1018"/>
      <c r="I75" s="1018"/>
      <c r="J75" s="1019"/>
    </row>
    <row r="76" spans="3:10" ht="16.5">
      <c r="C76" s="1019"/>
      <c r="E76" s="1019"/>
      <c r="G76" s="1018"/>
      <c r="I76" s="1018"/>
      <c r="J76" s="1019"/>
    </row>
    <row r="78" spans="3:10" ht="16.5">
      <c r="C78" s="1018"/>
      <c r="E78" s="1019"/>
      <c r="F78" s="1019"/>
      <c r="H78" s="1019"/>
      <c r="I78" s="1019"/>
      <c r="J78" s="1019"/>
    </row>
    <row r="79" spans="3:10" ht="16.5">
      <c r="C79" s="1019"/>
      <c r="E79" s="1019"/>
      <c r="F79" s="1019"/>
      <c r="H79" s="1019"/>
      <c r="I79" s="1019"/>
      <c r="J79" s="1019"/>
    </row>
    <row r="80" spans="3:10" ht="16.5">
      <c r="C80" s="1019"/>
      <c r="E80" s="1019"/>
      <c r="F80" s="1019"/>
      <c r="H80" s="1019"/>
      <c r="I80" s="1019"/>
      <c r="J80" s="1019"/>
    </row>
    <row r="81" spans="3:10" ht="16.5">
      <c r="C81" s="1019"/>
      <c r="E81" s="1019"/>
      <c r="F81" s="1019"/>
      <c r="H81" s="1019"/>
      <c r="I81" s="1019"/>
      <c r="J81" s="1019"/>
    </row>
    <row r="82" spans="3:10" ht="16.5">
      <c r="C82" s="1019"/>
      <c r="E82" s="1019"/>
      <c r="F82" s="1019"/>
      <c r="H82" s="1019"/>
      <c r="I82" s="1019"/>
      <c r="J82" s="1019"/>
    </row>
    <row r="85" spans="3:10" ht="16.5">
      <c r="C85" s="1019"/>
      <c r="E85" s="1019"/>
      <c r="F85" s="1019"/>
      <c r="H85" s="1019"/>
      <c r="I85" s="1019"/>
      <c r="J85" s="1018"/>
    </row>
    <row r="86" spans="3:10" ht="16.5">
      <c r="C86" s="1019"/>
      <c r="E86" s="1018"/>
      <c r="F86" s="1019"/>
      <c r="H86" s="1019"/>
      <c r="I86" s="1019"/>
      <c r="J86" s="1019"/>
    </row>
    <row r="87" spans="3:10" ht="16.5">
      <c r="C87" s="1019"/>
      <c r="E87" s="1018"/>
      <c r="F87" s="1018"/>
      <c r="H87" s="1019"/>
      <c r="I87" s="1018"/>
      <c r="J87" s="1018"/>
    </row>
    <row r="88" spans="3:10" ht="16.5">
      <c r="C88" s="1019"/>
      <c r="E88" s="1019"/>
      <c r="F88" s="1018"/>
      <c r="H88" s="1019"/>
      <c r="I88" s="1018"/>
      <c r="J88" s="1018"/>
    </row>
    <row r="89" spans="3:10" ht="16.5">
      <c r="C89" s="1019"/>
      <c r="E89" s="1019"/>
      <c r="F89" s="1019"/>
      <c r="H89" s="1019"/>
      <c r="I89" s="1019"/>
      <c r="J89" s="1019"/>
    </row>
    <row r="90" spans="3:10" ht="16.5">
      <c r="C90" s="1019"/>
      <c r="E90" s="1019"/>
      <c r="F90" s="1019"/>
      <c r="H90" s="1019"/>
      <c r="I90" s="1019"/>
      <c r="J90" s="1019"/>
    </row>
    <row r="91" spans="3:10" ht="16.5">
      <c r="C91" s="1019"/>
      <c r="E91" s="1019"/>
      <c r="F91" s="1018"/>
      <c r="H91" s="1019"/>
      <c r="I91" s="1018"/>
      <c r="J91" s="1018"/>
    </row>
    <row r="93" spans="3:10" ht="16.5">
      <c r="C93" s="1019"/>
      <c r="E93" s="1019"/>
      <c r="F93" s="1019"/>
      <c r="H93" s="1019"/>
      <c r="I93" s="1019"/>
      <c r="J93" s="1019"/>
    </row>
    <row r="94" spans="3:10" ht="16.5">
      <c r="C94" s="1019"/>
      <c r="E94" s="1019"/>
      <c r="F94" s="1019"/>
      <c r="H94" s="1019"/>
      <c r="I94" s="1019"/>
      <c r="J94" s="1019"/>
    </row>
    <row r="95" spans="3:10" ht="16.5">
      <c r="C95" s="1019"/>
      <c r="E95" s="1019"/>
      <c r="F95" s="1019"/>
      <c r="H95" s="1019"/>
      <c r="I95" s="1019"/>
      <c r="J95" s="1019"/>
    </row>
    <row r="96" spans="3:10" ht="16.5">
      <c r="C96" s="1019"/>
      <c r="E96" s="1019"/>
      <c r="F96" s="1019"/>
      <c r="H96" s="1019"/>
      <c r="I96" s="1019"/>
      <c r="J96" s="1019"/>
    </row>
    <row r="97" spans="3:10" ht="16.5">
      <c r="C97" s="1019"/>
      <c r="E97" s="1019"/>
      <c r="F97" s="1019"/>
      <c r="H97" s="1019"/>
      <c r="I97" s="1019"/>
      <c r="J97" s="1019"/>
    </row>
    <row r="98" spans="3:10" ht="16.5">
      <c r="C98" s="1019"/>
      <c r="E98" s="1019"/>
      <c r="F98" s="1019"/>
      <c r="H98" s="1019"/>
      <c r="I98" s="1019"/>
      <c r="J98" s="1019"/>
    </row>
    <row r="99" spans="3:10" ht="16.5">
      <c r="C99" s="1019"/>
      <c r="E99" s="1019"/>
      <c r="F99" s="1019"/>
      <c r="H99" s="1019"/>
      <c r="I99" s="1019"/>
      <c r="J99" s="1019"/>
    </row>
    <row r="102" spans="3:10" ht="16.5">
      <c r="C102" s="1020"/>
      <c r="E102" s="1020"/>
      <c r="G102" s="1020"/>
      <c r="I102" s="1020"/>
      <c r="J102" s="1020"/>
    </row>
    <row r="103" spans="3:10" ht="16.5">
      <c r="C103" s="1018"/>
      <c r="E103" s="1018"/>
      <c r="G103" s="1020"/>
      <c r="I103" s="1020"/>
      <c r="J103" s="1020"/>
    </row>
    <row r="104" spans="3:10" ht="16.5">
      <c r="C104" s="1020"/>
      <c r="E104" s="1020"/>
      <c r="G104" s="1020"/>
      <c r="I104" s="1020"/>
      <c r="J104" s="1020"/>
    </row>
    <row r="105" spans="3:10" ht="16.5">
      <c r="C105" s="1018"/>
      <c r="E105" s="1018"/>
      <c r="G105" s="1020"/>
      <c r="I105" s="1020"/>
      <c r="J105" s="1020"/>
    </row>
    <row r="106" spans="3:10" ht="16.5">
      <c r="C106" s="1018"/>
      <c r="E106" s="1018"/>
      <c r="G106" s="1020"/>
      <c r="I106" s="1020"/>
      <c r="J106" s="1020"/>
    </row>
    <row r="107" spans="3:10" ht="16.5">
      <c r="C107" s="1018"/>
      <c r="E107" s="1018"/>
      <c r="F107" s="1018"/>
      <c r="G107" s="1018"/>
      <c r="I107" s="1018"/>
      <c r="J107" s="1020"/>
    </row>
    <row r="108" spans="3:10" ht="16.5">
      <c r="C108" s="1018"/>
      <c r="E108" s="1018"/>
      <c r="G108" s="1020"/>
      <c r="I108" s="1020"/>
      <c r="J108" s="1020"/>
    </row>
    <row r="111" spans="3:10" ht="16.5">
      <c r="C111" s="1019"/>
      <c r="E111" s="1019"/>
      <c r="F111" s="1019"/>
      <c r="H111" s="1019"/>
      <c r="I111" s="1019"/>
      <c r="J111" s="1019"/>
    </row>
    <row r="112" spans="3:10" ht="16.5">
      <c r="C112" s="1019"/>
      <c r="E112" s="1019"/>
      <c r="F112" s="1019"/>
      <c r="H112" s="1019"/>
      <c r="I112" s="1019"/>
      <c r="J112" s="1019"/>
    </row>
    <row r="113" spans="3:10" ht="16.5">
      <c r="C113" s="1019"/>
      <c r="E113" s="1019"/>
      <c r="F113" s="1019"/>
      <c r="H113" s="1019"/>
      <c r="I113" s="1019"/>
      <c r="J113" s="1019"/>
    </row>
    <row r="114" spans="3:10" ht="16.5">
      <c r="C114" s="1019"/>
      <c r="E114" s="1019"/>
      <c r="F114" s="1019"/>
      <c r="H114" s="1019"/>
      <c r="I114" s="1019"/>
      <c r="J114" s="1019"/>
    </row>
    <row r="115" spans="3:10" ht="16.5">
      <c r="C115" s="1019"/>
      <c r="E115" s="1019"/>
      <c r="F115" s="1019"/>
      <c r="H115" s="1019"/>
      <c r="I115" s="1019"/>
      <c r="J115" s="1019"/>
    </row>
    <row r="116" spans="3:10" ht="16.5">
      <c r="C116" s="1019"/>
      <c r="E116" s="1019"/>
      <c r="F116" s="1019"/>
      <c r="H116" s="1019"/>
      <c r="I116" s="1019"/>
      <c r="J116" s="1019"/>
    </row>
    <row r="117" spans="3:10" ht="16.5">
      <c r="C117" s="1019"/>
      <c r="E117" s="1019"/>
      <c r="F117" s="1019"/>
      <c r="H117" s="1019"/>
      <c r="I117" s="1019"/>
      <c r="J117" s="1019"/>
    </row>
    <row r="120" spans="2:10" ht="16.5">
      <c r="B120" s="1018"/>
      <c r="C120" s="1019"/>
      <c r="E120" s="1020"/>
      <c r="F120" s="1018"/>
      <c r="G120" s="1018"/>
      <c r="I120" s="1020"/>
      <c r="J120" s="1020"/>
    </row>
    <row r="121" spans="3:10" ht="16.5">
      <c r="C121" s="1019"/>
      <c r="E121" s="1020"/>
      <c r="G121" s="1018"/>
      <c r="I121" s="1020"/>
      <c r="J121" s="1020"/>
    </row>
    <row r="122" spans="3:10" ht="16.5">
      <c r="C122" s="1019"/>
      <c r="E122" s="1018"/>
      <c r="G122" s="1018"/>
      <c r="I122" s="1020"/>
      <c r="J122" s="1020"/>
    </row>
    <row r="123" spans="3:10" ht="16.5">
      <c r="C123" s="1019"/>
      <c r="E123" s="1018"/>
      <c r="F123" s="1018"/>
      <c r="G123" s="1018"/>
      <c r="I123" s="1020"/>
      <c r="J123" s="1020"/>
    </row>
    <row r="124" spans="3:10" ht="16.5">
      <c r="C124" s="1019"/>
      <c r="E124" s="1020"/>
      <c r="F124" s="1018"/>
      <c r="G124" s="1018"/>
      <c r="I124" s="1020"/>
      <c r="J124" s="1020"/>
    </row>
    <row r="125" spans="3:10" ht="16.5">
      <c r="C125" s="1019"/>
      <c r="E125" s="1018"/>
      <c r="F125" s="1018"/>
      <c r="G125" s="1018"/>
      <c r="I125" s="1020"/>
      <c r="J125" s="1020"/>
    </row>
    <row r="126" spans="3:10" ht="16.5">
      <c r="C126" s="1018"/>
      <c r="E126" s="1020"/>
      <c r="G126" s="1018"/>
      <c r="I126" s="1020"/>
      <c r="J126" s="1020"/>
    </row>
    <row r="128" spans="3:10" ht="16.5">
      <c r="C128" s="1019"/>
      <c r="E128" s="1019"/>
      <c r="F128" s="1019"/>
      <c r="H128" s="1019"/>
      <c r="I128" s="1019"/>
      <c r="J128" s="1019"/>
    </row>
    <row r="129" spans="3:10" ht="16.5">
      <c r="C129" s="1019"/>
      <c r="E129" s="1019"/>
      <c r="F129" s="1019"/>
      <c r="H129" s="1019"/>
      <c r="I129" s="1019"/>
      <c r="J129" s="1019"/>
    </row>
    <row r="130" spans="3:10" ht="16.5">
      <c r="C130" s="1019"/>
      <c r="E130" s="1019"/>
      <c r="F130" s="1019"/>
      <c r="H130" s="1019"/>
      <c r="I130" s="1019"/>
      <c r="J130" s="1019"/>
    </row>
    <row r="131" spans="3:10" ht="16.5">
      <c r="C131" s="1019"/>
      <c r="E131" s="1019"/>
      <c r="F131" s="1019"/>
      <c r="H131" s="1019"/>
      <c r="I131" s="1019"/>
      <c r="J131" s="1019"/>
    </row>
    <row r="132" spans="3:10" ht="16.5">
      <c r="C132" s="1019"/>
      <c r="E132" s="1019"/>
      <c r="F132" s="1019"/>
      <c r="H132" s="1019"/>
      <c r="I132" s="1019"/>
      <c r="J132" s="1019"/>
    </row>
    <row r="133" spans="3:10" ht="16.5">
      <c r="C133" s="1019"/>
      <c r="E133" s="1019"/>
      <c r="F133" s="1019"/>
      <c r="H133" s="1019"/>
      <c r="I133" s="1019"/>
      <c r="J133" s="1019"/>
    </row>
    <row r="134" spans="3:10" ht="16.5">
      <c r="C134" s="1019"/>
      <c r="E134" s="1019"/>
      <c r="F134" s="1019"/>
      <c r="H134" s="1019"/>
      <c r="I134" s="1019"/>
      <c r="J134" s="1019"/>
    </row>
    <row r="138" spans="1:10" ht="16.5">
      <c r="A138" s="955"/>
      <c r="J138" s="1021"/>
    </row>
    <row r="203" ht="16.5">
      <c r="A203" s="955" t="s">
        <v>445</v>
      </c>
    </row>
  </sheetData>
  <sheetProtection/>
  <mergeCells count="24">
    <mergeCell ref="B2:E2"/>
    <mergeCell ref="F2:I2"/>
    <mergeCell ref="J2:M2"/>
    <mergeCell ref="N2:Q2"/>
    <mergeCell ref="R2:U2"/>
    <mergeCell ref="AP2:AS2"/>
    <mergeCell ref="AT2:AW2"/>
    <mergeCell ref="AX2:BA2"/>
    <mergeCell ref="BB2:BE2"/>
    <mergeCell ref="BF2:BI2"/>
    <mergeCell ref="V2:Y2"/>
    <mergeCell ref="Z2:AC2"/>
    <mergeCell ref="AD2:AG2"/>
    <mergeCell ref="AH2:AK2"/>
    <mergeCell ref="AL2:AO2"/>
    <mergeCell ref="CD2:CG2"/>
    <mergeCell ref="CH2:CK2"/>
    <mergeCell ref="CL2:CO2"/>
    <mergeCell ref="CP2:CS2"/>
    <mergeCell ref="BJ2:BM2"/>
    <mergeCell ref="BN2:BQ2"/>
    <mergeCell ref="BR2:BU2"/>
    <mergeCell ref="BV2:BY2"/>
    <mergeCell ref="BZ2:CC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/>
  </sheetPr>
  <dimension ref="A1:BA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Y1"/>
    </sheetView>
  </sheetViews>
  <sheetFormatPr defaultColWidth="9.140625" defaultRowHeight="15"/>
  <cols>
    <col min="1" max="1" width="73.8515625" style="94" customWidth="1"/>
    <col min="2" max="53" width="12.421875" style="94" bestFit="1" customWidth="1"/>
    <col min="54" max="16384" width="9.140625" style="94" customWidth="1"/>
  </cols>
  <sheetData>
    <row r="1" spans="1:51" ht="13.5">
      <c r="A1" s="1770" t="s">
        <v>368</v>
      </c>
      <c r="B1" s="1770"/>
      <c r="C1" s="1770"/>
      <c r="D1" s="1770"/>
      <c r="E1" s="1770"/>
      <c r="F1" s="1770"/>
      <c r="G1" s="1770"/>
      <c r="H1" s="1770"/>
      <c r="I1" s="1770"/>
      <c r="J1" s="1770"/>
      <c r="K1" s="1770"/>
      <c r="L1" s="1770"/>
      <c r="M1" s="1770"/>
      <c r="N1" s="1770"/>
      <c r="O1" s="1770"/>
      <c r="P1" s="1770"/>
      <c r="Q1" s="1770"/>
      <c r="R1" s="1770"/>
      <c r="S1" s="1770"/>
      <c r="T1" s="1770"/>
      <c r="U1" s="1770"/>
      <c r="V1" s="1770"/>
      <c r="W1" s="1770"/>
      <c r="X1" s="1770"/>
      <c r="Y1" s="1770"/>
      <c r="Z1" s="1770"/>
      <c r="AA1" s="1770"/>
      <c r="AB1" s="1770"/>
      <c r="AC1" s="1770"/>
      <c r="AD1" s="1770"/>
      <c r="AE1" s="1770"/>
      <c r="AF1" s="1770"/>
      <c r="AG1" s="1770"/>
      <c r="AH1" s="1770"/>
      <c r="AI1" s="1770"/>
      <c r="AJ1" s="1770"/>
      <c r="AK1" s="1770"/>
      <c r="AL1" s="1770"/>
      <c r="AM1" s="1770"/>
      <c r="AN1" s="1770"/>
      <c r="AO1" s="1770"/>
      <c r="AP1" s="1770"/>
      <c r="AQ1" s="1770"/>
      <c r="AR1" s="1770"/>
      <c r="AS1" s="1770"/>
      <c r="AT1" s="1770"/>
      <c r="AU1" s="1770"/>
      <c r="AV1" s="1770"/>
      <c r="AW1" s="1770"/>
      <c r="AX1" s="1770"/>
      <c r="AY1" s="1770"/>
    </row>
    <row r="2" spans="1:51" ht="16.5" thickBot="1">
      <c r="A2" s="1627" t="s">
        <v>161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1627"/>
      <c r="N2" s="1627"/>
      <c r="O2" s="1627"/>
      <c r="P2" s="1627"/>
      <c r="Q2" s="1627"/>
      <c r="R2" s="1627"/>
      <c r="S2" s="1627"/>
      <c r="T2" s="1627"/>
      <c r="U2" s="1627"/>
      <c r="V2" s="1627"/>
      <c r="W2" s="1627"/>
      <c r="X2" s="1627"/>
      <c r="Y2" s="1627"/>
      <c r="Z2" s="1627"/>
      <c r="AA2" s="1627"/>
      <c r="AB2" s="1627"/>
      <c r="AC2" s="1627"/>
      <c r="AD2" s="1627"/>
      <c r="AE2" s="1627"/>
      <c r="AF2" s="1627"/>
      <c r="AG2" s="1627"/>
      <c r="AH2" s="1627"/>
      <c r="AI2" s="1627"/>
      <c r="AJ2" s="1627"/>
      <c r="AK2" s="1627"/>
      <c r="AL2" s="1627"/>
      <c r="AM2" s="1627"/>
      <c r="AN2" s="1627"/>
      <c r="AO2" s="1627"/>
      <c r="AP2" s="1627"/>
      <c r="AQ2" s="1627"/>
      <c r="AR2" s="1627"/>
      <c r="AS2" s="1627"/>
      <c r="AT2" s="1627"/>
      <c r="AU2" s="1627"/>
      <c r="AV2" s="1627"/>
      <c r="AW2" s="1627"/>
      <c r="AX2" s="1627"/>
      <c r="AY2" s="1627"/>
    </row>
    <row r="3" spans="1:53" s="853" customFormat="1" ht="41.25" customHeight="1" thickBot="1">
      <c r="A3" s="1771" t="s">
        <v>0</v>
      </c>
      <c r="B3" s="1762" t="s">
        <v>163</v>
      </c>
      <c r="C3" s="1764"/>
      <c r="D3" s="1762" t="s">
        <v>164</v>
      </c>
      <c r="E3" s="1763"/>
      <c r="F3" s="1762" t="s">
        <v>165</v>
      </c>
      <c r="G3" s="1764"/>
      <c r="H3" s="1762" t="s">
        <v>166</v>
      </c>
      <c r="I3" s="1764"/>
      <c r="J3" s="1762" t="s">
        <v>167</v>
      </c>
      <c r="K3" s="1763"/>
      <c r="L3" s="1762" t="s">
        <v>168</v>
      </c>
      <c r="M3" s="1764"/>
      <c r="N3" s="1762" t="s">
        <v>446</v>
      </c>
      <c r="O3" s="1763"/>
      <c r="P3" s="1762" t="s">
        <v>169</v>
      </c>
      <c r="Q3" s="1764"/>
      <c r="R3" s="1762" t="s">
        <v>170</v>
      </c>
      <c r="S3" s="1764"/>
      <c r="T3" s="1762" t="s">
        <v>171</v>
      </c>
      <c r="U3" s="1763"/>
      <c r="V3" s="1762" t="s">
        <v>172</v>
      </c>
      <c r="W3" s="1764"/>
      <c r="X3" s="1762" t="s">
        <v>173</v>
      </c>
      <c r="Y3" s="1764"/>
      <c r="Z3" s="1762" t="s">
        <v>526</v>
      </c>
      <c r="AA3" s="1764"/>
      <c r="AB3" s="1762" t="s">
        <v>174</v>
      </c>
      <c r="AC3" s="1764"/>
      <c r="AD3" s="1765" t="s">
        <v>175</v>
      </c>
      <c r="AE3" s="1766"/>
      <c r="AF3" s="1762" t="s">
        <v>176</v>
      </c>
      <c r="AG3" s="1764"/>
      <c r="AH3" s="1762" t="s">
        <v>177</v>
      </c>
      <c r="AI3" s="1764"/>
      <c r="AJ3" s="1762" t="s">
        <v>178</v>
      </c>
      <c r="AK3" s="1764"/>
      <c r="AL3" s="1765" t="s">
        <v>179</v>
      </c>
      <c r="AM3" s="1767"/>
      <c r="AN3" s="1762" t="s">
        <v>180</v>
      </c>
      <c r="AO3" s="1764"/>
      <c r="AP3" s="1762" t="s">
        <v>181</v>
      </c>
      <c r="AQ3" s="1764"/>
      <c r="AR3" s="1762" t="s">
        <v>182</v>
      </c>
      <c r="AS3" s="1764"/>
      <c r="AT3" s="1762" t="s">
        <v>183</v>
      </c>
      <c r="AU3" s="1764"/>
      <c r="AV3" s="1762" t="s">
        <v>1</v>
      </c>
      <c r="AW3" s="1764"/>
      <c r="AX3" s="1768" t="s">
        <v>184</v>
      </c>
      <c r="AY3" s="1769"/>
      <c r="AZ3" s="1765" t="s">
        <v>2</v>
      </c>
      <c r="BA3" s="1767"/>
    </row>
    <row r="4" spans="1:53" s="456" customFormat="1" ht="15" thickBot="1">
      <c r="A4" s="1772"/>
      <c r="B4" s="1250" t="s">
        <v>520</v>
      </c>
      <c r="C4" s="1251" t="s">
        <v>378</v>
      </c>
      <c r="D4" s="1252" t="s">
        <v>520</v>
      </c>
      <c r="E4" s="1253" t="s">
        <v>378</v>
      </c>
      <c r="F4" s="1250" t="s">
        <v>520</v>
      </c>
      <c r="G4" s="1251" t="s">
        <v>378</v>
      </c>
      <c r="H4" s="1252" t="s">
        <v>520</v>
      </c>
      <c r="I4" s="1251" t="s">
        <v>378</v>
      </c>
      <c r="J4" s="1252" t="s">
        <v>520</v>
      </c>
      <c r="K4" s="1251" t="s">
        <v>378</v>
      </c>
      <c r="L4" s="1252" t="s">
        <v>520</v>
      </c>
      <c r="M4" s="1251" t="s">
        <v>378</v>
      </c>
      <c r="N4" s="1252" t="s">
        <v>520</v>
      </c>
      <c r="O4" s="1251" t="s">
        <v>378</v>
      </c>
      <c r="P4" s="1252" t="s">
        <v>520</v>
      </c>
      <c r="Q4" s="1251" t="s">
        <v>378</v>
      </c>
      <c r="R4" s="1252" t="s">
        <v>520</v>
      </c>
      <c r="S4" s="1251" t="s">
        <v>378</v>
      </c>
      <c r="T4" s="1252" t="s">
        <v>520</v>
      </c>
      <c r="U4" s="1251" t="s">
        <v>378</v>
      </c>
      <c r="V4" s="1252" t="s">
        <v>520</v>
      </c>
      <c r="W4" s="1251" t="s">
        <v>378</v>
      </c>
      <c r="X4" s="1252" t="s">
        <v>520</v>
      </c>
      <c r="Y4" s="1251" t="s">
        <v>378</v>
      </c>
      <c r="Z4" s="1252" t="s">
        <v>520</v>
      </c>
      <c r="AA4" s="1251" t="s">
        <v>378</v>
      </c>
      <c r="AB4" s="1252" t="s">
        <v>520</v>
      </c>
      <c r="AC4" s="1251" t="s">
        <v>378</v>
      </c>
      <c r="AD4" s="1252" t="s">
        <v>520</v>
      </c>
      <c r="AE4" s="1251" t="s">
        <v>378</v>
      </c>
      <c r="AF4" s="1252" t="s">
        <v>520</v>
      </c>
      <c r="AG4" s="1251" t="s">
        <v>378</v>
      </c>
      <c r="AH4" s="1252" t="s">
        <v>520</v>
      </c>
      <c r="AI4" s="1251" t="s">
        <v>378</v>
      </c>
      <c r="AJ4" s="1252" t="s">
        <v>520</v>
      </c>
      <c r="AK4" s="1251" t="s">
        <v>378</v>
      </c>
      <c r="AL4" s="1252" t="s">
        <v>520</v>
      </c>
      <c r="AM4" s="1251" t="s">
        <v>378</v>
      </c>
      <c r="AN4" s="1252" t="s">
        <v>520</v>
      </c>
      <c r="AO4" s="1251" t="s">
        <v>378</v>
      </c>
      <c r="AP4" s="1252" t="s">
        <v>520</v>
      </c>
      <c r="AQ4" s="1251" t="s">
        <v>378</v>
      </c>
      <c r="AR4" s="1252" t="s">
        <v>520</v>
      </c>
      <c r="AS4" s="1251" t="s">
        <v>378</v>
      </c>
      <c r="AT4" s="1252" t="s">
        <v>520</v>
      </c>
      <c r="AU4" s="1251" t="s">
        <v>378</v>
      </c>
      <c r="AV4" s="1252" t="s">
        <v>520</v>
      </c>
      <c r="AW4" s="1251" t="s">
        <v>378</v>
      </c>
      <c r="AX4" s="1252" t="s">
        <v>520</v>
      </c>
      <c r="AY4" s="1251" t="s">
        <v>378</v>
      </c>
      <c r="AZ4" s="1252" t="s">
        <v>520</v>
      </c>
      <c r="BA4" s="1251" t="s">
        <v>378</v>
      </c>
    </row>
    <row r="5" spans="1:53" s="98" customFormat="1" ht="15" customHeight="1">
      <c r="A5" s="105" t="s">
        <v>3</v>
      </c>
      <c r="B5" s="327">
        <v>37.29</v>
      </c>
      <c r="C5" s="328">
        <v>45.86</v>
      </c>
      <c r="D5" s="327"/>
      <c r="E5" s="333"/>
      <c r="F5" s="326">
        <v>0.85</v>
      </c>
      <c r="G5" s="328">
        <v>0.03</v>
      </c>
      <c r="H5" s="327">
        <v>8.63</v>
      </c>
      <c r="I5" s="328">
        <v>5</v>
      </c>
      <c r="J5" s="327"/>
      <c r="K5" s="333"/>
      <c r="L5" s="326"/>
      <c r="M5" s="328"/>
      <c r="N5" s="327">
        <v>0.006</v>
      </c>
      <c r="O5" s="333"/>
      <c r="P5" s="326">
        <v>0.11</v>
      </c>
      <c r="Q5" s="328">
        <v>0.34</v>
      </c>
      <c r="R5" s="327"/>
      <c r="S5" s="328"/>
      <c r="T5" s="327">
        <v>23.04</v>
      </c>
      <c r="U5" s="333">
        <v>0.9</v>
      </c>
      <c r="V5" s="326">
        <v>133.12</v>
      </c>
      <c r="W5" s="328">
        <v>126.67</v>
      </c>
      <c r="X5" s="327">
        <v>8</v>
      </c>
      <c r="Y5" s="328">
        <v>8</v>
      </c>
      <c r="Z5" s="327">
        <v>0.04</v>
      </c>
      <c r="AA5" s="328"/>
      <c r="AB5" s="414"/>
      <c r="AC5" s="415"/>
      <c r="AD5" s="327">
        <v>1.64</v>
      </c>
      <c r="AE5" s="333">
        <v>0.51</v>
      </c>
      <c r="AF5" s="326">
        <v>2.76</v>
      </c>
      <c r="AG5" s="328">
        <v>5.11</v>
      </c>
      <c r="AH5" s="327"/>
      <c r="AI5" s="328">
        <v>0.34</v>
      </c>
      <c r="AJ5" s="327"/>
      <c r="AK5" s="328"/>
      <c r="AL5" s="327"/>
      <c r="AM5" s="333"/>
      <c r="AN5" s="966">
        <v>92</v>
      </c>
      <c r="AO5" s="967">
        <v>68</v>
      </c>
      <c r="AP5" s="334"/>
      <c r="AQ5" s="328"/>
      <c r="AR5" s="327">
        <v>0.0028</v>
      </c>
      <c r="AS5" s="328">
        <v>0.0011</v>
      </c>
      <c r="AT5" s="327">
        <v>2.51</v>
      </c>
      <c r="AU5" s="328">
        <v>6.02</v>
      </c>
      <c r="AV5" s="323">
        <f aca="true" t="shared" si="0" ref="AV5:AV14">SUM(B5+D5+F5+H5+J5+L5+N5+P5+R5+T5+V5+X5+Z5+P5+AD5+AF5+AH5+AJ5+AL5+AN5+AP5+AR5+AT5)</f>
        <v>310.1088</v>
      </c>
      <c r="AW5" s="658">
        <f aca="true" t="shared" si="1" ref="AW5:AW14">SUM(C5+E5+G5+I5+K5+M5+O5+Q5+S5+U5+W5+Y5+AA5+Q5+AE5+AG5+AI5+AK5+AM5+AO5+AQ5+AS5+AU5)</f>
        <v>267.1211</v>
      </c>
      <c r="AX5" s="327"/>
      <c r="AY5" s="333">
        <v>2049.15</v>
      </c>
      <c r="AZ5" s="323">
        <f aca="true" t="shared" si="2" ref="AZ5:AZ14">AV5+AX5</f>
        <v>310.1088</v>
      </c>
      <c r="BA5" s="325">
        <f aca="true" t="shared" si="3" ref="BA5:BA14">AW5+AY5</f>
        <v>2316.2711</v>
      </c>
    </row>
    <row r="6" spans="1:53" s="98" customFormat="1" ht="13.5">
      <c r="A6" s="105" t="s">
        <v>4</v>
      </c>
      <c r="B6" s="43">
        <v>-19.57</v>
      </c>
      <c r="C6" s="97">
        <v>13.56</v>
      </c>
      <c r="D6" s="8"/>
      <c r="E6" s="99"/>
      <c r="F6" s="7">
        <v>2.44</v>
      </c>
      <c r="G6" s="9"/>
      <c r="H6" s="8">
        <v>902.7</v>
      </c>
      <c r="I6" s="9">
        <v>832</v>
      </c>
      <c r="J6" s="8">
        <v>8.83</v>
      </c>
      <c r="K6" s="99">
        <v>3</v>
      </c>
      <c r="L6" s="7">
        <v>208.65</v>
      </c>
      <c r="M6" s="9">
        <v>134.11</v>
      </c>
      <c r="N6" s="8"/>
      <c r="O6" s="99">
        <v>0.21</v>
      </c>
      <c r="P6" s="7">
        <v>7.05</v>
      </c>
      <c r="Q6" s="9">
        <v>6.11</v>
      </c>
      <c r="R6" s="8">
        <v>0.25</v>
      </c>
      <c r="S6" s="9">
        <v>0.18</v>
      </c>
      <c r="T6" s="8">
        <v>76.31</v>
      </c>
      <c r="U6" s="99">
        <v>72.91</v>
      </c>
      <c r="V6" s="7">
        <v>1418.28</v>
      </c>
      <c r="W6" s="9">
        <v>1416.12</v>
      </c>
      <c r="X6" s="8">
        <v>706</v>
      </c>
      <c r="Y6" s="9">
        <v>780</v>
      </c>
      <c r="Z6" s="93">
        <v>88.94</v>
      </c>
      <c r="AA6" s="660">
        <v>130.19</v>
      </c>
      <c r="AB6" s="412">
        <v>142.6</v>
      </c>
      <c r="AC6" s="413">
        <v>185.59</v>
      </c>
      <c r="AD6" s="8">
        <v>194.17</v>
      </c>
      <c r="AE6" s="99">
        <v>149.36</v>
      </c>
      <c r="AF6" s="7">
        <v>430.16</v>
      </c>
      <c r="AG6" s="9">
        <v>337.68</v>
      </c>
      <c r="AH6" s="8"/>
      <c r="AI6" s="9">
        <v>316.49</v>
      </c>
      <c r="AJ6" s="8"/>
      <c r="AK6" s="9"/>
      <c r="AL6" s="8"/>
      <c r="AM6" s="99"/>
      <c r="AN6" s="968">
        <v>3306</v>
      </c>
      <c r="AO6" s="969">
        <v>2412</v>
      </c>
      <c r="AP6" s="965"/>
      <c r="AQ6" s="100">
        <v>0</v>
      </c>
      <c r="AR6" s="102">
        <v>268.97</v>
      </c>
      <c r="AS6" s="103">
        <v>125.49</v>
      </c>
      <c r="AT6" s="8">
        <v>1.05</v>
      </c>
      <c r="AU6" s="9">
        <v>0.03</v>
      </c>
      <c r="AV6" s="323">
        <f t="shared" si="0"/>
        <v>7607.280000000001</v>
      </c>
      <c r="AW6" s="658">
        <f t="shared" si="1"/>
        <v>6735.549999999999</v>
      </c>
      <c r="AX6" s="102"/>
      <c r="AY6" s="972">
        <v>9.17</v>
      </c>
      <c r="AZ6" s="973">
        <f t="shared" si="2"/>
        <v>7607.280000000001</v>
      </c>
      <c r="BA6" s="97">
        <f t="shared" si="3"/>
        <v>6744.719999999999</v>
      </c>
    </row>
    <row r="7" spans="1:53" s="98" customFormat="1" ht="13.5">
      <c r="A7" s="105" t="s">
        <v>5</v>
      </c>
      <c r="B7" s="43">
        <v>141.95</v>
      </c>
      <c r="C7" s="97">
        <v>124.63</v>
      </c>
      <c r="D7" s="8">
        <v>2.06</v>
      </c>
      <c r="E7" s="99">
        <v>1.44</v>
      </c>
      <c r="F7" s="7"/>
      <c r="G7" s="9"/>
      <c r="H7" s="8">
        <v>39.81</v>
      </c>
      <c r="I7" s="9">
        <v>360</v>
      </c>
      <c r="J7" s="8">
        <v>0.91</v>
      </c>
      <c r="K7" s="99"/>
      <c r="L7" s="7">
        <v>11.75</v>
      </c>
      <c r="M7" s="9">
        <v>12.63</v>
      </c>
      <c r="N7" s="8">
        <v>80.11</v>
      </c>
      <c r="O7" s="99">
        <v>108.2</v>
      </c>
      <c r="P7" s="7"/>
      <c r="Q7" s="9"/>
      <c r="R7" s="8"/>
      <c r="S7" s="9"/>
      <c r="T7" s="8">
        <v>1.11</v>
      </c>
      <c r="U7" s="99">
        <v>0.25</v>
      </c>
      <c r="V7" s="7">
        <v>1080.18</v>
      </c>
      <c r="W7" s="9">
        <v>1325.62</v>
      </c>
      <c r="X7" s="8">
        <v>249</v>
      </c>
      <c r="Y7" s="9">
        <v>109</v>
      </c>
      <c r="Z7" s="93"/>
      <c r="AA7" s="660"/>
      <c r="AB7" s="412"/>
      <c r="AC7" s="413"/>
      <c r="AD7" s="8">
        <v>181.63</v>
      </c>
      <c r="AE7" s="99">
        <v>150.72</v>
      </c>
      <c r="AF7" s="7">
        <v>5.61</v>
      </c>
      <c r="AG7" s="9"/>
      <c r="AH7" s="8"/>
      <c r="AI7" s="9">
        <v>0.01</v>
      </c>
      <c r="AJ7" s="8"/>
      <c r="AK7" s="9"/>
      <c r="AL7" s="8"/>
      <c r="AM7" s="99"/>
      <c r="AN7" s="968">
        <v>4</v>
      </c>
      <c r="AO7" s="969">
        <v>8</v>
      </c>
      <c r="AP7" s="965">
        <v>82.62</v>
      </c>
      <c r="AQ7" s="100">
        <v>96.59</v>
      </c>
      <c r="AR7" s="102"/>
      <c r="AS7" s="103"/>
      <c r="AT7" s="8"/>
      <c r="AU7" s="9"/>
      <c r="AV7" s="323">
        <f t="shared" si="0"/>
        <v>1880.7400000000002</v>
      </c>
      <c r="AW7" s="658">
        <f t="shared" si="1"/>
        <v>2297.09</v>
      </c>
      <c r="AX7" s="102"/>
      <c r="AY7" s="972">
        <v>39.64</v>
      </c>
      <c r="AZ7" s="973">
        <f t="shared" si="2"/>
        <v>1880.7400000000002</v>
      </c>
      <c r="BA7" s="97">
        <f t="shared" si="3"/>
        <v>2336.73</v>
      </c>
    </row>
    <row r="8" spans="1:53" s="98" customFormat="1" ht="13.5">
      <c r="A8" s="105" t="s">
        <v>6</v>
      </c>
      <c r="B8" s="43">
        <v>354.07</v>
      </c>
      <c r="C8" s="97">
        <v>90.97</v>
      </c>
      <c r="D8" s="8">
        <v>11.83</v>
      </c>
      <c r="E8" s="99">
        <v>11.4</v>
      </c>
      <c r="F8" s="7">
        <v>15.82</v>
      </c>
      <c r="G8" s="9">
        <v>8.35</v>
      </c>
      <c r="H8" s="8">
        <v>89.34</v>
      </c>
      <c r="I8" s="9">
        <v>71</v>
      </c>
      <c r="J8" s="8">
        <v>0.13</v>
      </c>
      <c r="K8" s="99"/>
      <c r="L8" s="7">
        <v>56.87</v>
      </c>
      <c r="M8" s="9">
        <v>0.2</v>
      </c>
      <c r="N8" s="8">
        <v>11.62</v>
      </c>
      <c r="O8" s="99">
        <v>33.86</v>
      </c>
      <c r="P8" s="7">
        <v>4.28</v>
      </c>
      <c r="Q8" s="9">
        <v>9.52</v>
      </c>
      <c r="R8" s="8">
        <v>77.46</v>
      </c>
      <c r="S8" s="9">
        <v>74.96</v>
      </c>
      <c r="T8" s="8">
        <v>11.77</v>
      </c>
      <c r="U8" s="99">
        <v>13.73</v>
      </c>
      <c r="V8" s="7">
        <v>178.28</v>
      </c>
      <c r="W8" s="9">
        <v>262.2</v>
      </c>
      <c r="X8" s="8">
        <v>275</v>
      </c>
      <c r="Y8" s="9">
        <v>236</v>
      </c>
      <c r="Z8" s="93"/>
      <c r="AA8" s="660"/>
      <c r="AB8" s="412">
        <v>37.9</v>
      </c>
      <c r="AC8" s="413">
        <v>27.58</v>
      </c>
      <c r="AD8" s="8">
        <v>89.79</v>
      </c>
      <c r="AE8" s="99">
        <v>116.59</v>
      </c>
      <c r="AF8" s="7">
        <v>42.45</v>
      </c>
      <c r="AG8" s="9">
        <v>42.09</v>
      </c>
      <c r="AH8" s="8"/>
      <c r="AI8" s="9">
        <v>110.92</v>
      </c>
      <c r="AJ8" s="8">
        <v>0.13</v>
      </c>
      <c r="AK8" s="9">
        <v>0.13</v>
      </c>
      <c r="AL8" s="8"/>
      <c r="AM8" s="99"/>
      <c r="AN8" s="968">
        <v>60</v>
      </c>
      <c r="AO8" s="969">
        <v>42</v>
      </c>
      <c r="AP8" s="965">
        <v>14.6</v>
      </c>
      <c r="AQ8" s="100">
        <v>2.69</v>
      </c>
      <c r="AR8" s="102">
        <v>1.27</v>
      </c>
      <c r="AS8" s="103">
        <v>0.34</v>
      </c>
      <c r="AT8" s="8">
        <v>68.58</v>
      </c>
      <c r="AU8" s="9">
        <v>31.3</v>
      </c>
      <c r="AV8" s="323">
        <f t="shared" si="0"/>
        <v>1367.5699999999997</v>
      </c>
      <c r="AW8" s="658">
        <f t="shared" si="1"/>
        <v>1167.7700000000002</v>
      </c>
      <c r="AX8" s="102"/>
      <c r="AY8" s="972">
        <v>19.38</v>
      </c>
      <c r="AZ8" s="973">
        <f t="shared" si="2"/>
        <v>1367.5699999999997</v>
      </c>
      <c r="BA8" s="97">
        <f t="shared" si="3"/>
        <v>1187.1500000000003</v>
      </c>
    </row>
    <row r="9" spans="1:53" s="98" customFormat="1" ht="13.5">
      <c r="A9" s="105" t="s">
        <v>7</v>
      </c>
      <c r="B9" s="43"/>
      <c r="C9" s="97"/>
      <c r="D9" s="8"/>
      <c r="E9" s="99"/>
      <c r="F9" s="7"/>
      <c r="G9" s="9"/>
      <c r="H9" s="8">
        <v>70.21</v>
      </c>
      <c r="I9" s="9">
        <v>100</v>
      </c>
      <c r="J9" s="8"/>
      <c r="K9" s="99"/>
      <c r="L9" s="7"/>
      <c r="M9" s="9"/>
      <c r="N9" s="8">
        <v>2.85</v>
      </c>
      <c r="O9" s="99">
        <v>19.18</v>
      </c>
      <c r="P9" s="7"/>
      <c r="Q9" s="9"/>
      <c r="R9" s="8"/>
      <c r="S9" s="9"/>
      <c r="T9" s="8"/>
      <c r="U9" s="99"/>
      <c r="V9" s="7">
        <v>17.49</v>
      </c>
      <c r="W9" s="9">
        <v>5.42</v>
      </c>
      <c r="X9" s="8">
        <v>4</v>
      </c>
      <c r="Y9" s="9"/>
      <c r="Z9" s="93"/>
      <c r="AA9" s="660"/>
      <c r="AB9" s="412"/>
      <c r="AC9" s="413"/>
      <c r="AD9" s="8">
        <v>106.02</v>
      </c>
      <c r="AE9" s="99">
        <v>112.01</v>
      </c>
      <c r="AF9" s="7"/>
      <c r="AG9" s="9"/>
      <c r="AH9" s="8"/>
      <c r="AI9" s="9"/>
      <c r="AJ9" s="8"/>
      <c r="AK9" s="9"/>
      <c r="AL9" s="8"/>
      <c r="AM9" s="99"/>
      <c r="AN9" s="970"/>
      <c r="AO9" s="971"/>
      <c r="AP9" s="965"/>
      <c r="AQ9" s="100"/>
      <c r="AR9" s="102"/>
      <c r="AS9" s="103"/>
      <c r="AT9" s="8"/>
      <c r="AU9" s="9"/>
      <c r="AV9" s="323">
        <f t="shared" si="0"/>
        <v>200.57</v>
      </c>
      <c r="AW9" s="658">
        <f t="shared" si="1"/>
        <v>236.61</v>
      </c>
      <c r="AX9" s="102"/>
      <c r="AY9" s="972"/>
      <c r="AZ9" s="973">
        <f t="shared" si="2"/>
        <v>200.57</v>
      </c>
      <c r="BA9" s="97">
        <f t="shared" si="3"/>
        <v>236.61</v>
      </c>
    </row>
    <row r="10" spans="1:53" s="98" customFormat="1" ht="13.5">
      <c r="A10" s="105" t="s">
        <v>8</v>
      </c>
      <c r="B10" s="43">
        <v>1973.96</v>
      </c>
      <c r="C10" s="97">
        <v>1578.63</v>
      </c>
      <c r="D10" s="8">
        <v>12.77</v>
      </c>
      <c r="E10" s="99">
        <v>5.7</v>
      </c>
      <c r="F10" s="7">
        <v>40.08</v>
      </c>
      <c r="G10" s="9">
        <v>85.61</v>
      </c>
      <c r="H10" s="8">
        <v>2671.89</v>
      </c>
      <c r="I10" s="9">
        <v>1812</v>
      </c>
      <c r="J10" s="8">
        <v>126.58</v>
      </c>
      <c r="K10" s="99">
        <v>190</v>
      </c>
      <c r="L10" s="7">
        <v>595.92</v>
      </c>
      <c r="M10" s="9">
        <v>288.08</v>
      </c>
      <c r="N10" s="8">
        <v>19.37</v>
      </c>
      <c r="O10" s="99">
        <v>187.51</v>
      </c>
      <c r="P10" s="7">
        <v>33.35</v>
      </c>
      <c r="Q10" s="9">
        <v>36.04</v>
      </c>
      <c r="R10" s="8">
        <v>28.53</v>
      </c>
      <c r="S10" s="9">
        <v>40.4</v>
      </c>
      <c r="T10" s="8">
        <v>54.74</v>
      </c>
      <c r="U10" s="99">
        <v>307.88</v>
      </c>
      <c r="V10" s="7">
        <v>7289.98</v>
      </c>
      <c r="W10" s="9">
        <v>5735.99</v>
      </c>
      <c r="X10" s="8">
        <v>4138</v>
      </c>
      <c r="Y10" s="9">
        <v>3478</v>
      </c>
      <c r="Z10" s="93">
        <v>38.34</v>
      </c>
      <c r="AA10" s="660">
        <v>23.3</v>
      </c>
      <c r="AB10" s="412">
        <v>826.02</v>
      </c>
      <c r="AC10" s="413">
        <v>691.58</v>
      </c>
      <c r="AD10" s="104">
        <v>1738.66</v>
      </c>
      <c r="AE10" s="659">
        <v>2177.83</v>
      </c>
      <c r="AF10" s="7">
        <v>117.61</v>
      </c>
      <c r="AG10" s="9">
        <v>67.71</v>
      </c>
      <c r="AH10" s="8"/>
      <c r="AI10" s="9">
        <v>41.01</v>
      </c>
      <c r="AJ10" s="8">
        <v>178.33</v>
      </c>
      <c r="AK10" s="9">
        <v>64.73</v>
      </c>
      <c r="AL10" s="8"/>
      <c r="AM10" s="99"/>
      <c r="AN10" s="968">
        <v>4663</v>
      </c>
      <c r="AO10" s="969">
        <v>2818</v>
      </c>
      <c r="AP10" s="965">
        <v>220.27</v>
      </c>
      <c r="AQ10" s="100">
        <v>115.07</v>
      </c>
      <c r="AR10" s="102">
        <v>11.43</v>
      </c>
      <c r="AS10" s="103">
        <v>1.97</v>
      </c>
      <c r="AT10" s="8">
        <v>117.83</v>
      </c>
      <c r="AU10" s="9">
        <v>59.21</v>
      </c>
      <c r="AV10" s="323">
        <f t="shared" si="0"/>
        <v>24103.99</v>
      </c>
      <c r="AW10" s="658">
        <f t="shared" si="1"/>
        <v>19150.71</v>
      </c>
      <c r="AX10" s="8"/>
      <c r="AY10" s="99">
        <v>124631.91</v>
      </c>
      <c r="AZ10" s="973">
        <f t="shared" si="2"/>
        <v>24103.99</v>
      </c>
      <c r="BA10" s="97">
        <f t="shared" si="3"/>
        <v>143782.62</v>
      </c>
    </row>
    <row r="11" spans="1:53" s="98" customFormat="1" ht="14.25" thickBot="1">
      <c r="A11" s="105" t="s">
        <v>9</v>
      </c>
      <c r="B11" s="1552"/>
      <c r="C11" s="1553"/>
      <c r="D11" s="1554"/>
      <c r="E11" s="1555"/>
      <c r="F11" s="1556"/>
      <c r="G11" s="1557"/>
      <c r="H11" s="1554"/>
      <c r="I11" s="1557"/>
      <c r="J11" s="1554"/>
      <c r="K11" s="1555"/>
      <c r="L11" s="1556"/>
      <c r="M11" s="1557"/>
      <c r="N11" s="1554"/>
      <c r="O11" s="1555"/>
      <c r="P11" s="1556"/>
      <c r="Q11" s="1557"/>
      <c r="R11" s="1554"/>
      <c r="S11" s="1557"/>
      <c r="T11" s="1554"/>
      <c r="U11" s="1555"/>
      <c r="V11" s="1556"/>
      <c r="W11" s="1557"/>
      <c r="X11" s="1554"/>
      <c r="Y11" s="1557"/>
      <c r="Z11" s="1558"/>
      <c r="AA11" s="1559"/>
      <c r="AB11" s="1560"/>
      <c r="AC11" s="1561"/>
      <c r="AD11" s="1562"/>
      <c r="AE11" s="1563"/>
      <c r="AF11" s="1556"/>
      <c r="AG11" s="1557"/>
      <c r="AH11" s="1554"/>
      <c r="AI11" s="1557"/>
      <c r="AJ11" s="1554"/>
      <c r="AK11" s="1557"/>
      <c r="AL11" s="1554"/>
      <c r="AM11" s="1555"/>
      <c r="AN11" s="1564"/>
      <c r="AO11" s="1565"/>
      <c r="AP11" s="1566"/>
      <c r="AQ11" s="1567"/>
      <c r="AR11" s="1568"/>
      <c r="AS11" s="1569"/>
      <c r="AT11" s="1554"/>
      <c r="AU11" s="1557"/>
      <c r="AV11" s="1570">
        <f t="shared" si="0"/>
        <v>0</v>
      </c>
      <c r="AW11" s="1571">
        <f t="shared" si="1"/>
        <v>0</v>
      </c>
      <c r="AX11" s="1554"/>
      <c r="AY11" s="1555"/>
      <c r="AZ11" s="1572">
        <f t="shared" si="2"/>
        <v>0</v>
      </c>
      <c r="BA11" s="1553">
        <f t="shared" si="3"/>
        <v>0</v>
      </c>
    </row>
    <row r="12" spans="1:53" s="457" customFormat="1" ht="14.25" thickBot="1">
      <c r="A12" s="759" t="s">
        <v>10</v>
      </c>
      <c r="B12" s="469">
        <f aca="true" t="shared" si="4" ref="B12:Q12">SUM(B5:B11)</f>
        <v>2487.7</v>
      </c>
      <c r="C12" s="472">
        <f t="shared" si="4"/>
        <v>1853.65</v>
      </c>
      <c r="D12" s="469">
        <f t="shared" si="4"/>
        <v>26.66</v>
      </c>
      <c r="E12" s="470">
        <f t="shared" si="4"/>
        <v>18.54</v>
      </c>
      <c r="F12" s="471">
        <f t="shared" si="4"/>
        <v>59.19</v>
      </c>
      <c r="G12" s="472">
        <f t="shared" si="4"/>
        <v>93.99</v>
      </c>
      <c r="H12" s="469">
        <f t="shared" si="4"/>
        <v>3782.58</v>
      </c>
      <c r="I12" s="472">
        <f t="shared" si="4"/>
        <v>3180</v>
      </c>
      <c r="J12" s="469">
        <f t="shared" si="4"/>
        <v>136.45</v>
      </c>
      <c r="K12" s="470">
        <f t="shared" si="4"/>
        <v>193</v>
      </c>
      <c r="L12" s="471">
        <f t="shared" si="4"/>
        <v>873.1899999999999</v>
      </c>
      <c r="M12" s="472">
        <f t="shared" si="4"/>
        <v>435.02</v>
      </c>
      <c r="N12" s="1573">
        <f t="shared" si="4"/>
        <v>113.956</v>
      </c>
      <c r="O12" s="1574">
        <f t="shared" si="4"/>
        <v>348.96</v>
      </c>
      <c r="P12" s="471">
        <f t="shared" si="4"/>
        <v>44.790000000000006</v>
      </c>
      <c r="Q12" s="472">
        <f t="shared" si="4"/>
        <v>52.01</v>
      </c>
      <c r="R12" s="1573">
        <f aca="true" t="shared" si="5" ref="R12:AG12">SUM(R5:R11)</f>
        <v>106.24</v>
      </c>
      <c r="S12" s="1575">
        <f t="shared" si="5"/>
        <v>115.53999999999999</v>
      </c>
      <c r="T12" s="469">
        <f t="shared" si="5"/>
        <v>166.97</v>
      </c>
      <c r="U12" s="470">
        <f t="shared" si="5"/>
        <v>395.67</v>
      </c>
      <c r="V12" s="471">
        <f t="shared" si="5"/>
        <v>10117.33</v>
      </c>
      <c r="W12" s="472">
        <f t="shared" si="5"/>
        <v>8872.02</v>
      </c>
      <c r="X12" s="469">
        <f t="shared" si="5"/>
        <v>5380</v>
      </c>
      <c r="Y12" s="472">
        <f t="shared" si="5"/>
        <v>4611</v>
      </c>
      <c r="Z12" s="469">
        <f t="shared" si="5"/>
        <v>127.32000000000001</v>
      </c>
      <c r="AA12" s="472">
        <f t="shared" si="5"/>
        <v>153.49</v>
      </c>
      <c r="AB12" s="1573">
        <f t="shared" si="5"/>
        <v>1006.52</v>
      </c>
      <c r="AC12" s="1575">
        <f t="shared" si="5"/>
        <v>904.75</v>
      </c>
      <c r="AD12" s="469">
        <f t="shared" si="5"/>
        <v>2311.91</v>
      </c>
      <c r="AE12" s="470">
        <f t="shared" si="5"/>
        <v>2707.02</v>
      </c>
      <c r="AF12" s="471">
        <f t="shared" si="5"/>
        <v>598.59</v>
      </c>
      <c r="AG12" s="472">
        <f t="shared" si="5"/>
        <v>452.59</v>
      </c>
      <c r="AH12" s="469">
        <f aca="true" t="shared" si="6" ref="AH12:AU12">SUM(AH5:AH11)</f>
        <v>0</v>
      </c>
      <c r="AI12" s="472">
        <f t="shared" si="6"/>
        <v>468.77</v>
      </c>
      <c r="AJ12" s="469">
        <f t="shared" si="6"/>
        <v>178.46</v>
      </c>
      <c r="AK12" s="472">
        <f t="shared" si="6"/>
        <v>64.86</v>
      </c>
      <c r="AL12" s="469">
        <f t="shared" si="6"/>
        <v>0</v>
      </c>
      <c r="AM12" s="470">
        <f t="shared" si="6"/>
        <v>0</v>
      </c>
      <c r="AN12" s="471">
        <f t="shared" si="6"/>
        <v>8125</v>
      </c>
      <c r="AO12" s="1575">
        <f t="shared" si="6"/>
        <v>5348</v>
      </c>
      <c r="AP12" s="469">
        <f t="shared" si="6"/>
        <v>317.49</v>
      </c>
      <c r="AQ12" s="472">
        <v>214.35</v>
      </c>
      <c r="AR12" s="469">
        <f t="shared" si="6"/>
        <v>281.6728</v>
      </c>
      <c r="AS12" s="472">
        <f t="shared" si="6"/>
        <v>127.80109999999999</v>
      </c>
      <c r="AT12" s="469">
        <f t="shared" si="6"/>
        <v>189.97</v>
      </c>
      <c r="AU12" s="469">
        <f t="shared" si="6"/>
        <v>96.56</v>
      </c>
      <c r="AV12" s="471">
        <f t="shared" si="0"/>
        <v>35470.258799999996</v>
      </c>
      <c r="AW12" s="1576">
        <f t="shared" si="1"/>
        <v>29854.851100000003</v>
      </c>
      <c r="AX12" s="1577">
        <f>SUM(AX5:AX11)</f>
        <v>0</v>
      </c>
      <c r="AY12" s="1578">
        <f>SUM(AY5:AY11)</f>
        <v>126749.25</v>
      </c>
      <c r="AZ12" s="471">
        <f t="shared" si="2"/>
        <v>35470.258799999996</v>
      </c>
      <c r="BA12" s="1575">
        <f t="shared" si="3"/>
        <v>156604.1011</v>
      </c>
    </row>
    <row r="13" spans="1:53" s="98" customFormat="1" ht="14.25" thickBot="1">
      <c r="A13" s="105" t="s">
        <v>11</v>
      </c>
      <c r="B13" s="1579"/>
      <c r="C13" s="1580"/>
      <c r="D13" s="1581"/>
      <c r="E13" s="1582"/>
      <c r="F13" s="1583"/>
      <c r="G13" s="1584"/>
      <c r="H13" s="1581"/>
      <c r="I13" s="1584"/>
      <c r="J13" s="1581"/>
      <c r="K13" s="1582"/>
      <c r="L13" s="1583"/>
      <c r="M13" s="1584"/>
      <c r="N13" s="1581"/>
      <c r="O13" s="1582"/>
      <c r="P13" s="1583"/>
      <c r="Q13" s="1584"/>
      <c r="R13" s="1585"/>
      <c r="S13" s="1586"/>
      <c r="T13" s="1585"/>
      <c r="U13" s="1587"/>
      <c r="V13" s="1588"/>
      <c r="W13" s="1586"/>
      <c r="X13" s="1585"/>
      <c r="Y13" s="1586"/>
      <c r="Z13" s="1585"/>
      <c r="AA13" s="1586"/>
      <c r="AB13" s="1589"/>
      <c r="AC13" s="1590"/>
      <c r="AD13" s="1581"/>
      <c r="AE13" s="1582"/>
      <c r="AF13" s="1583"/>
      <c r="AG13" s="1584"/>
      <c r="AH13" s="1581"/>
      <c r="AI13" s="1584">
        <v>-0.003</v>
      </c>
      <c r="AJ13" s="1581"/>
      <c r="AK13" s="1584"/>
      <c r="AL13" s="1581"/>
      <c r="AM13" s="1582"/>
      <c r="AN13" s="1591"/>
      <c r="AO13" s="1592"/>
      <c r="AP13" s="1593"/>
      <c r="AQ13" s="1594"/>
      <c r="AR13" s="1595"/>
      <c r="AS13" s="1596"/>
      <c r="AT13" s="1581"/>
      <c r="AU13" s="1584"/>
      <c r="AV13" s="1570">
        <f t="shared" si="0"/>
        <v>0</v>
      </c>
      <c r="AW13" s="1571">
        <f t="shared" si="1"/>
        <v>-0.003</v>
      </c>
      <c r="AX13" s="1595"/>
      <c r="AY13" s="1597"/>
      <c r="AZ13" s="1570">
        <f t="shared" si="2"/>
        <v>0</v>
      </c>
      <c r="BA13" s="1598">
        <f t="shared" si="3"/>
        <v>-0.003</v>
      </c>
    </row>
    <row r="14" spans="1:53" s="457" customFormat="1" ht="14.25" thickBot="1">
      <c r="A14" s="759" t="s">
        <v>12</v>
      </c>
      <c r="B14" s="469">
        <f aca="true" t="shared" si="7" ref="B14:AG14">B12+B13</f>
        <v>2487.7</v>
      </c>
      <c r="C14" s="472">
        <f t="shared" si="7"/>
        <v>1853.65</v>
      </c>
      <c r="D14" s="469">
        <f t="shared" si="7"/>
        <v>26.66</v>
      </c>
      <c r="E14" s="470">
        <f t="shared" si="7"/>
        <v>18.54</v>
      </c>
      <c r="F14" s="471">
        <f t="shared" si="7"/>
        <v>59.19</v>
      </c>
      <c r="G14" s="472">
        <f t="shared" si="7"/>
        <v>93.99</v>
      </c>
      <c r="H14" s="469">
        <f t="shared" si="7"/>
        <v>3782.58</v>
      </c>
      <c r="I14" s="472">
        <f t="shared" si="7"/>
        <v>3180</v>
      </c>
      <c r="J14" s="469">
        <f t="shared" si="7"/>
        <v>136.45</v>
      </c>
      <c r="K14" s="470">
        <f t="shared" si="7"/>
        <v>193</v>
      </c>
      <c r="L14" s="471">
        <f t="shared" si="7"/>
        <v>873.1899999999999</v>
      </c>
      <c r="M14" s="472">
        <f t="shared" si="7"/>
        <v>435.02</v>
      </c>
      <c r="N14" s="1573">
        <f t="shared" si="7"/>
        <v>113.956</v>
      </c>
      <c r="O14" s="1574">
        <f t="shared" si="7"/>
        <v>348.96</v>
      </c>
      <c r="P14" s="471">
        <f>P12+P13</f>
        <v>44.790000000000006</v>
      </c>
      <c r="Q14" s="472">
        <f>Q12+Q13</f>
        <v>52.01</v>
      </c>
      <c r="R14" s="1573">
        <f t="shared" si="7"/>
        <v>106.24</v>
      </c>
      <c r="S14" s="1575">
        <f t="shared" si="7"/>
        <v>115.53999999999999</v>
      </c>
      <c r="T14" s="469">
        <f t="shared" si="7"/>
        <v>166.97</v>
      </c>
      <c r="U14" s="470">
        <f t="shared" si="7"/>
        <v>395.67</v>
      </c>
      <c r="V14" s="471">
        <f t="shared" si="7"/>
        <v>10117.33</v>
      </c>
      <c r="W14" s="472">
        <f t="shared" si="7"/>
        <v>8872.02</v>
      </c>
      <c r="X14" s="469">
        <f t="shared" si="7"/>
        <v>5380</v>
      </c>
      <c r="Y14" s="472">
        <f t="shared" si="7"/>
        <v>4611</v>
      </c>
      <c r="Z14" s="469">
        <f t="shared" si="7"/>
        <v>127.32000000000001</v>
      </c>
      <c r="AA14" s="472">
        <f t="shared" si="7"/>
        <v>153.49</v>
      </c>
      <c r="AB14" s="1573">
        <f t="shared" si="7"/>
        <v>1006.52</v>
      </c>
      <c r="AC14" s="1575">
        <f t="shared" si="7"/>
        <v>904.75</v>
      </c>
      <c r="AD14" s="469">
        <f t="shared" si="7"/>
        <v>2311.91</v>
      </c>
      <c r="AE14" s="470">
        <f t="shared" si="7"/>
        <v>2707.02</v>
      </c>
      <c r="AF14" s="471">
        <f t="shared" si="7"/>
        <v>598.59</v>
      </c>
      <c r="AG14" s="472">
        <f t="shared" si="7"/>
        <v>452.59</v>
      </c>
      <c r="AH14" s="469">
        <f aca="true" t="shared" si="8" ref="AH14:AU14">AH12+AH13</f>
        <v>0</v>
      </c>
      <c r="AI14" s="472">
        <f t="shared" si="8"/>
        <v>468.767</v>
      </c>
      <c r="AJ14" s="469">
        <f t="shared" si="8"/>
        <v>178.46</v>
      </c>
      <c r="AK14" s="472">
        <f t="shared" si="8"/>
        <v>64.86</v>
      </c>
      <c r="AL14" s="469">
        <f t="shared" si="8"/>
        <v>0</v>
      </c>
      <c r="AM14" s="470">
        <f t="shared" si="8"/>
        <v>0</v>
      </c>
      <c r="AN14" s="471">
        <f t="shared" si="8"/>
        <v>8125</v>
      </c>
      <c r="AO14" s="472">
        <f t="shared" si="8"/>
        <v>5348</v>
      </c>
      <c r="AP14" s="469">
        <f t="shared" si="8"/>
        <v>317.49</v>
      </c>
      <c r="AQ14" s="472">
        <f t="shared" si="8"/>
        <v>214.35</v>
      </c>
      <c r="AR14" s="469">
        <f t="shared" si="8"/>
        <v>281.6728</v>
      </c>
      <c r="AS14" s="472">
        <f t="shared" si="8"/>
        <v>127.80109999999999</v>
      </c>
      <c r="AT14" s="469">
        <f t="shared" si="8"/>
        <v>189.97</v>
      </c>
      <c r="AU14" s="469">
        <f t="shared" si="8"/>
        <v>96.56</v>
      </c>
      <c r="AV14" s="471">
        <f t="shared" si="0"/>
        <v>35470.258799999996</v>
      </c>
      <c r="AW14" s="1576">
        <f t="shared" si="1"/>
        <v>29854.848100000003</v>
      </c>
      <c r="AX14" s="1577">
        <f>AX12+AX13</f>
        <v>0</v>
      </c>
      <c r="AY14" s="1578">
        <f>AY12+AY13</f>
        <v>126749.25</v>
      </c>
      <c r="AZ14" s="471">
        <f t="shared" si="2"/>
        <v>35470.258799999996</v>
      </c>
      <c r="BA14" s="1575">
        <f t="shared" si="3"/>
        <v>156604.0981</v>
      </c>
    </row>
  </sheetData>
  <sheetProtection/>
  <mergeCells count="29">
    <mergeCell ref="AN3:AO3"/>
    <mergeCell ref="AL3:AM3"/>
    <mergeCell ref="AJ3:AK3"/>
    <mergeCell ref="AH3:AI3"/>
    <mergeCell ref="AF3:AG3"/>
    <mergeCell ref="A1:AY1"/>
    <mergeCell ref="A2:AY2"/>
    <mergeCell ref="A3:A4"/>
    <mergeCell ref="J3:K3"/>
    <mergeCell ref="Z3:AA3"/>
    <mergeCell ref="AZ3:BA3"/>
    <mergeCell ref="AX3:AY3"/>
    <mergeCell ref="AV3:AW3"/>
    <mergeCell ref="AP3:AQ3"/>
    <mergeCell ref="AR3:AS3"/>
    <mergeCell ref="AT3:AU3"/>
    <mergeCell ref="AB3:AC3"/>
    <mergeCell ref="AD3:AE3"/>
    <mergeCell ref="L3:M3"/>
    <mergeCell ref="F3:G3"/>
    <mergeCell ref="H3:I3"/>
    <mergeCell ref="N3:O3"/>
    <mergeCell ref="D3:E3"/>
    <mergeCell ref="B3:C3"/>
    <mergeCell ref="X3:Y3"/>
    <mergeCell ref="V3:W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BA4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6" sqref="E6"/>
    </sheetView>
  </sheetViews>
  <sheetFormatPr defaultColWidth="9.140625" defaultRowHeight="15"/>
  <cols>
    <col min="1" max="1" width="27.140625" style="41" customWidth="1"/>
    <col min="2" max="39" width="12.8515625" style="41" bestFit="1" customWidth="1"/>
    <col min="40" max="41" width="12.8515625" style="228" bestFit="1" customWidth="1"/>
    <col min="42" max="53" width="12.8515625" style="41" bestFit="1" customWidth="1"/>
    <col min="54" max="16384" width="9.140625" style="41" customWidth="1"/>
  </cols>
  <sheetData>
    <row r="1" spans="1:51" ht="14.25">
      <c r="A1" s="1608" t="s">
        <v>156</v>
      </c>
      <c r="B1" s="1608"/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  <c r="N1" s="1608"/>
      <c r="O1" s="1608"/>
      <c r="P1" s="1608"/>
      <c r="Q1" s="1608"/>
      <c r="R1" s="1608"/>
      <c r="S1" s="1608"/>
      <c r="T1" s="1608"/>
      <c r="U1" s="1608"/>
      <c r="V1" s="1608"/>
      <c r="W1" s="1608"/>
      <c r="X1" s="1608"/>
      <c r="Y1" s="1608"/>
      <c r="Z1" s="1608"/>
      <c r="AA1" s="1608"/>
      <c r="AB1" s="1608"/>
      <c r="AC1" s="1608"/>
      <c r="AD1" s="1608"/>
      <c r="AE1" s="1608"/>
      <c r="AF1" s="1608"/>
      <c r="AG1" s="1608"/>
      <c r="AH1" s="1608"/>
      <c r="AI1" s="1608"/>
      <c r="AJ1" s="1608"/>
      <c r="AK1" s="1608"/>
      <c r="AL1" s="1608"/>
      <c r="AM1" s="1608"/>
      <c r="AN1" s="1608"/>
      <c r="AO1" s="1608"/>
      <c r="AP1" s="1608"/>
      <c r="AQ1" s="1608"/>
      <c r="AR1" s="1608"/>
      <c r="AS1" s="1608"/>
      <c r="AT1" s="1608"/>
      <c r="AU1" s="1608"/>
      <c r="AV1" s="1608"/>
      <c r="AW1" s="1608"/>
      <c r="AX1" s="1608"/>
      <c r="AY1" s="1608"/>
    </row>
    <row r="2" spans="1:51" ht="16.5" thickBot="1">
      <c r="A2" s="1609" t="s">
        <v>157</v>
      </c>
      <c r="B2" s="1609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1609"/>
      <c r="T2" s="1609"/>
      <c r="U2" s="1609"/>
      <c r="V2" s="1609"/>
      <c r="W2" s="1609"/>
      <c r="X2" s="1609"/>
      <c r="Y2" s="1609"/>
      <c r="Z2" s="1609"/>
      <c r="AA2" s="1609"/>
      <c r="AB2" s="1609"/>
      <c r="AC2" s="1609"/>
      <c r="AD2" s="1609"/>
      <c r="AE2" s="1609"/>
      <c r="AF2" s="1609"/>
      <c r="AG2" s="1609"/>
      <c r="AH2" s="1609"/>
      <c r="AI2" s="1609"/>
      <c r="AJ2" s="1609"/>
      <c r="AK2" s="1609"/>
      <c r="AL2" s="1609"/>
      <c r="AM2" s="1609"/>
      <c r="AN2" s="1609"/>
      <c r="AO2" s="1609"/>
      <c r="AP2" s="1609"/>
      <c r="AQ2" s="1609"/>
      <c r="AR2" s="1609"/>
      <c r="AS2" s="1609"/>
      <c r="AT2" s="1609"/>
      <c r="AU2" s="1609"/>
      <c r="AV2" s="1609"/>
      <c r="AW2" s="1609"/>
      <c r="AX2" s="1609"/>
      <c r="AY2" s="1609"/>
    </row>
    <row r="3" spans="1:53" s="824" customFormat="1" ht="38.25" customHeight="1" thickBot="1">
      <c r="A3" s="1610" t="s">
        <v>0</v>
      </c>
      <c r="B3" s="1612" t="s">
        <v>163</v>
      </c>
      <c r="C3" s="1613"/>
      <c r="D3" s="1612" t="s">
        <v>164</v>
      </c>
      <c r="E3" s="1613"/>
      <c r="F3" s="1606" t="s">
        <v>165</v>
      </c>
      <c r="G3" s="1607"/>
      <c r="H3" s="1606" t="s">
        <v>166</v>
      </c>
      <c r="I3" s="1607"/>
      <c r="J3" s="1606" t="s">
        <v>167</v>
      </c>
      <c r="K3" s="1607"/>
      <c r="L3" s="1606" t="s">
        <v>168</v>
      </c>
      <c r="M3" s="1607"/>
      <c r="N3" s="1606" t="s">
        <v>446</v>
      </c>
      <c r="O3" s="1607"/>
      <c r="P3" s="1606" t="s">
        <v>169</v>
      </c>
      <c r="Q3" s="1607"/>
      <c r="R3" s="1606" t="s">
        <v>170</v>
      </c>
      <c r="S3" s="1607"/>
      <c r="T3" s="1606" t="s">
        <v>171</v>
      </c>
      <c r="U3" s="1607"/>
      <c r="V3" s="1606" t="s">
        <v>172</v>
      </c>
      <c r="W3" s="1607"/>
      <c r="X3" s="1606" t="s">
        <v>173</v>
      </c>
      <c r="Y3" s="1607"/>
      <c r="Z3" s="1606" t="s">
        <v>529</v>
      </c>
      <c r="AA3" s="1607"/>
      <c r="AB3" s="1606" t="s">
        <v>174</v>
      </c>
      <c r="AC3" s="1607"/>
      <c r="AD3" s="1604" t="s">
        <v>175</v>
      </c>
      <c r="AE3" s="1605"/>
      <c r="AF3" s="1606" t="s">
        <v>176</v>
      </c>
      <c r="AG3" s="1607"/>
      <c r="AH3" s="1606" t="s">
        <v>177</v>
      </c>
      <c r="AI3" s="1607"/>
      <c r="AJ3" s="1606" t="s">
        <v>178</v>
      </c>
      <c r="AK3" s="1607"/>
      <c r="AL3" s="1604" t="s">
        <v>179</v>
      </c>
      <c r="AM3" s="1605"/>
      <c r="AN3" s="1604" t="s">
        <v>180</v>
      </c>
      <c r="AO3" s="1605"/>
      <c r="AP3" s="1606" t="s">
        <v>181</v>
      </c>
      <c r="AQ3" s="1607"/>
      <c r="AR3" s="1606" t="s">
        <v>182</v>
      </c>
      <c r="AS3" s="1607"/>
      <c r="AT3" s="1606" t="s">
        <v>183</v>
      </c>
      <c r="AU3" s="1607"/>
      <c r="AV3" s="1606" t="s">
        <v>1</v>
      </c>
      <c r="AW3" s="1607"/>
      <c r="AX3" s="1604" t="s">
        <v>184</v>
      </c>
      <c r="AY3" s="1605"/>
      <c r="AZ3" s="1604" t="s">
        <v>2</v>
      </c>
      <c r="BA3" s="1605"/>
    </row>
    <row r="4" spans="1:53" s="509" customFormat="1" ht="15" customHeight="1" thickBot="1">
      <c r="A4" s="1611"/>
      <c r="B4" s="1441" t="s">
        <v>520</v>
      </c>
      <c r="C4" s="1442" t="s">
        <v>378</v>
      </c>
      <c r="D4" s="1263" t="s">
        <v>520</v>
      </c>
      <c r="E4" s="521" t="s">
        <v>378</v>
      </c>
      <c r="F4" s="1263" t="s">
        <v>520</v>
      </c>
      <c r="G4" s="521" t="s">
        <v>378</v>
      </c>
      <c r="H4" s="1263" t="s">
        <v>520</v>
      </c>
      <c r="I4" s="521" t="s">
        <v>378</v>
      </c>
      <c r="J4" s="1263" t="s">
        <v>520</v>
      </c>
      <c r="K4" s="521" t="s">
        <v>378</v>
      </c>
      <c r="L4" s="1263" t="s">
        <v>520</v>
      </c>
      <c r="M4" s="521" t="s">
        <v>378</v>
      </c>
      <c r="N4" s="1263" t="s">
        <v>520</v>
      </c>
      <c r="O4" s="521" t="s">
        <v>378</v>
      </c>
      <c r="P4" s="1263" t="s">
        <v>520</v>
      </c>
      <c r="Q4" s="521" t="s">
        <v>378</v>
      </c>
      <c r="R4" s="1263" t="s">
        <v>520</v>
      </c>
      <c r="S4" s="521" t="s">
        <v>378</v>
      </c>
      <c r="T4" s="1263" t="s">
        <v>520</v>
      </c>
      <c r="U4" s="521" t="s">
        <v>378</v>
      </c>
      <c r="V4" s="1263" t="s">
        <v>520</v>
      </c>
      <c r="W4" s="521" t="s">
        <v>378</v>
      </c>
      <c r="X4" s="1263" t="s">
        <v>520</v>
      </c>
      <c r="Y4" s="521" t="s">
        <v>378</v>
      </c>
      <c r="Z4" s="1263" t="s">
        <v>520</v>
      </c>
      <c r="AA4" s="521" t="s">
        <v>378</v>
      </c>
      <c r="AB4" s="1263" t="s">
        <v>520</v>
      </c>
      <c r="AC4" s="521" t="s">
        <v>378</v>
      </c>
      <c r="AD4" s="1263" t="s">
        <v>520</v>
      </c>
      <c r="AE4" s="521" t="s">
        <v>378</v>
      </c>
      <c r="AF4" s="1263" t="s">
        <v>520</v>
      </c>
      <c r="AG4" s="521" t="s">
        <v>378</v>
      </c>
      <c r="AH4" s="1263" t="s">
        <v>520</v>
      </c>
      <c r="AI4" s="521" t="s">
        <v>378</v>
      </c>
      <c r="AJ4" s="1263" t="s">
        <v>520</v>
      </c>
      <c r="AK4" s="521" t="s">
        <v>378</v>
      </c>
      <c r="AL4" s="1263" t="s">
        <v>520</v>
      </c>
      <c r="AM4" s="521" t="s">
        <v>378</v>
      </c>
      <c r="AN4" s="1263" t="s">
        <v>520</v>
      </c>
      <c r="AO4" s="521" t="s">
        <v>378</v>
      </c>
      <c r="AP4" s="1263" t="s">
        <v>520</v>
      </c>
      <c r="AQ4" s="521" t="s">
        <v>378</v>
      </c>
      <c r="AR4" s="1263" t="s">
        <v>520</v>
      </c>
      <c r="AS4" s="521" t="s">
        <v>378</v>
      </c>
      <c r="AT4" s="1263" t="s">
        <v>520</v>
      </c>
      <c r="AU4" s="521" t="s">
        <v>378</v>
      </c>
      <c r="AV4" s="1263" t="s">
        <v>520</v>
      </c>
      <c r="AW4" s="521" t="s">
        <v>378</v>
      </c>
      <c r="AX4" s="1263" t="s">
        <v>520</v>
      </c>
      <c r="AY4" s="521" t="s">
        <v>378</v>
      </c>
      <c r="AZ4" s="1263" t="s">
        <v>520</v>
      </c>
      <c r="BA4" s="521" t="s">
        <v>378</v>
      </c>
    </row>
    <row r="5" spans="1:53" ht="28.5">
      <c r="A5" s="1431" t="s">
        <v>121</v>
      </c>
      <c r="B5" s="1443">
        <v>1294061</v>
      </c>
      <c r="C5" s="1444">
        <v>1983040</v>
      </c>
      <c r="D5" s="513">
        <v>29917</v>
      </c>
      <c r="E5" s="515">
        <v>29959</v>
      </c>
      <c r="F5" s="514">
        <v>174629</v>
      </c>
      <c r="G5" s="515">
        <v>401994</v>
      </c>
      <c r="H5" s="514">
        <v>5446210</v>
      </c>
      <c r="I5" s="515">
        <v>4209084</v>
      </c>
      <c r="J5" s="514">
        <v>213822</v>
      </c>
      <c r="K5" s="515">
        <v>870604</v>
      </c>
      <c r="L5" s="514">
        <f>1512153+9772+27945+3745+109296+65259+9805</f>
        <v>1737975</v>
      </c>
      <c r="M5" s="515">
        <v>1549679</v>
      </c>
      <c r="N5" s="514">
        <v>1598981</v>
      </c>
      <c r="O5" s="515">
        <v>2084973</v>
      </c>
      <c r="P5" s="514">
        <v>21380</v>
      </c>
      <c r="Q5" s="515">
        <v>229654</v>
      </c>
      <c r="R5" s="514">
        <v>676965</v>
      </c>
      <c r="S5" s="515">
        <v>1516129</v>
      </c>
      <c r="T5" s="514">
        <v>344386</v>
      </c>
      <c r="U5" s="515">
        <v>1133322</v>
      </c>
      <c r="V5" s="514">
        <v>9908968</v>
      </c>
      <c r="W5" s="515">
        <v>11913888</v>
      </c>
      <c r="X5" s="513">
        <v>19848596</v>
      </c>
      <c r="Y5" s="515">
        <v>19887091</v>
      </c>
      <c r="Z5" s="514">
        <v>970037</v>
      </c>
      <c r="AA5" s="515">
        <v>1202998</v>
      </c>
      <c r="AB5" s="514">
        <v>1467816.02</v>
      </c>
      <c r="AC5" s="515">
        <v>894592.49</v>
      </c>
      <c r="AD5" s="514">
        <v>5049350</v>
      </c>
      <c r="AE5" s="515">
        <v>4600795</v>
      </c>
      <c r="AF5" s="514">
        <v>3861713</v>
      </c>
      <c r="AG5" s="515">
        <v>4690114</v>
      </c>
      <c r="AH5" s="514"/>
      <c r="AI5" s="515">
        <v>719260</v>
      </c>
      <c r="AJ5" s="514">
        <v>2375280</v>
      </c>
      <c r="AK5" s="515">
        <v>2102938</v>
      </c>
      <c r="AL5" s="514"/>
      <c r="AM5" s="515"/>
      <c r="AN5" s="516">
        <v>16787622</v>
      </c>
      <c r="AO5" s="517">
        <v>14626523</v>
      </c>
      <c r="AP5" s="514">
        <v>796040</v>
      </c>
      <c r="AQ5" s="515">
        <v>885669</v>
      </c>
      <c r="AR5" s="514">
        <v>1593173</v>
      </c>
      <c r="AS5" s="515">
        <v>879472</v>
      </c>
      <c r="AT5" s="514">
        <v>1024698</v>
      </c>
      <c r="AU5" s="515">
        <v>690312</v>
      </c>
      <c r="AV5" s="518">
        <f aca="true" t="shared" si="0" ref="AV5:AV24">SUM(B5+D5+F5+H5+J5+L5+N5+P5+R5+T5+V5+X5+Z5+AB5+AD5+AF5+AH5+AJ5+AL5+AN5+AP5+AR5+AT5)</f>
        <v>75221619.02000001</v>
      </c>
      <c r="AW5" s="519">
        <f aca="true" t="shared" si="1" ref="AW5:AW24">SUM(C5+E5+G5+I5+K5+M5+O5+Q5+S5+U5+W5+Y5+AA5+AC5+AE5+AG5+AI5+AK5+AM5+AO5+AQ5+AS5+AU5)</f>
        <v>77102090.49000001</v>
      </c>
      <c r="AX5" s="514">
        <v>28890101</v>
      </c>
      <c r="AY5" s="515">
        <v>26977429</v>
      </c>
      <c r="AZ5" s="518">
        <f aca="true" t="shared" si="2" ref="AZ5:AZ24">AV5+AX5</f>
        <v>104111720.02000001</v>
      </c>
      <c r="BA5" s="519">
        <f aca="true" t="shared" si="3" ref="BA5:BA24">AW5+AY5</f>
        <v>104079519.49000001</v>
      </c>
    </row>
    <row r="6" spans="1:53" ht="14.25">
      <c r="A6" s="1432" t="s">
        <v>122</v>
      </c>
      <c r="B6" s="1256"/>
      <c r="C6" s="62"/>
      <c r="D6" s="22"/>
      <c r="E6" s="23"/>
      <c r="F6" s="19"/>
      <c r="G6" s="23"/>
      <c r="H6" s="19"/>
      <c r="I6" s="23"/>
      <c r="J6" s="19"/>
      <c r="K6" s="23"/>
      <c r="L6" s="19"/>
      <c r="M6" s="23"/>
      <c r="N6" s="19"/>
      <c r="O6" s="23"/>
      <c r="P6" s="19"/>
      <c r="Q6" s="23"/>
      <c r="R6" s="19"/>
      <c r="S6" s="23"/>
      <c r="T6" s="19"/>
      <c r="U6" s="23"/>
      <c r="V6" s="19"/>
      <c r="W6" s="23"/>
      <c r="X6" s="22"/>
      <c r="Y6" s="23"/>
      <c r="Z6" s="24"/>
      <c r="AA6" s="25"/>
      <c r="AB6" s="19"/>
      <c r="AC6" s="23"/>
      <c r="AD6" s="19"/>
      <c r="AE6" s="23"/>
      <c r="AF6" s="19"/>
      <c r="AG6" s="23"/>
      <c r="AH6" s="19"/>
      <c r="AI6" s="23"/>
      <c r="AJ6" s="19"/>
      <c r="AK6" s="23"/>
      <c r="AL6" s="19"/>
      <c r="AM6" s="23"/>
      <c r="AN6" s="280"/>
      <c r="AO6" s="284"/>
      <c r="AP6" s="27"/>
      <c r="AQ6" s="28"/>
      <c r="AR6" s="29"/>
      <c r="AS6" s="30"/>
      <c r="AT6" s="19"/>
      <c r="AU6" s="23"/>
      <c r="AV6" s="13">
        <f t="shared" si="0"/>
        <v>0</v>
      </c>
      <c r="AW6" s="351">
        <f t="shared" si="1"/>
        <v>0</v>
      </c>
      <c r="AX6" s="29"/>
      <c r="AY6" s="30"/>
      <c r="AZ6" s="13">
        <f t="shared" si="2"/>
        <v>0</v>
      </c>
      <c r="BA6" s="351">
        <f t="shared" si="3"/>
        <v>0</v>
      </c>
    </row>
    <row r="7" spans="1:53" ht="28.5">
      <c r="A7" s="1432" t="s">
        <v>123</v>
      </c>
      <c r="B7" s="1256">
        <v>1837793</v>
      </c>
      <c r="C7" s="62">
        <v>1768600</v>
      </c>
      <c r="D7" s="22">
        <v>39802</v>
      </c>
      <c r="E7" s="23">
        <v>45693</v>
      </c>
      <c r="F7" s="19">
        <v>443029</v>
      </c>
      <c r="G7" s="23">
        <v>502141</v>
      </c>
      <c r="H7" s="19">
        <v>5044123</v>
      </c>
      <c r="I7" s="23">
        <v>5881475</v>
      </c>
      <c r="J7" s="19">
        <v>285631</v>
      </c>
      <c r="K7" s="23">
        <v>249098</v>
      </c>
      <c r="L7" s="19">
        <v>824228</v>
      </c>
      <c r="M7" s="23">
        <v>846822</v>
      </c>
      <c r="N7" s="19">
        <v>153539</v>
      </c>
      <c r="O7" s="23">
        <v>404782</v>
      </c>
      <c r="P7" s="19">
        <v>243626</v>
      </c>
      <c r="Q7" s="23">
        <v>487184</v>
      </c>
      <c r="R7" s="19">
        <v>724886</v>
      </c>
      <c r="S7" s="23">
        <v>733146</v>
      </c>
      <c r="T7" s="19">
        <v>174631</v>
      </c>
      <c r="U7" s="23">
        <v>181727</v>
      </c>
      <c r="V7" s="19">
        <v>4382011</v>
      </c>
      <c r="W7" s="23">
        <v>3602546</v>
      </c>
      <c r="X7" s="22">
        <v>4835134</v>
      </c>
      <c r="Y7" s="23">
        <v>4504414</v>
      </c>
      <c r="Z7" s="24">
        <v>435615</v>
      </c>
      <c r="AA7" s="25">
        <v>412279</v>
      </c>
      <c r="AB7" s="19">
        <v>509556.8</v>
      </c>
      <c r="AC7" s="23">
        <v>462168.25</v>
      </c>
      <c r="AD7" s="19">
        <v>2433577</v>
      </c>
      <c r="AE7" s="23">
        <v>2051304</v>
      </c>
      <c r="AF7" s="19">
        <v>2147525</v>
      </c>
      <c r="AG7" s="23">
        <v>1733111</v>
      </c>
      <c r="AH7" s="19"/>
      <c r="AI7" s="23">
        <v>944683</v>
      </c>
      <c r="AJ7" s="19">
        <v>827181</v>
      </c>
      <c r="AK7" s="23">
        <v>846267</v>
      </c>
      <c r="AL7" s="19"/>
      <c r="AM7" s="23"/>
      <c r="AN7" s="281">
        <v>5211067</v>
      </c>
      <c r="AO7" s="285">
        <v>4665594</v>
      </c>
      <c r="AP7" s="27">
        <v>315391</v>
      </c>
      <c r="AQ7" s="28">
        <v>219335</v>
      </c>
      <c r="AR7" s="29">
        <v>390316</v>
      </c>
      <c r="AS7" s="30">
        <v>358748</v>
      </c>
      <c r="AT7" s="19">
        <v>1334497</v>
      </c>
      <c r="AU7" s="23">
        <v>1320823</v>
      </c>
      <c r="AV7" s="13">
        <f t="shared" si="0"/>
        <v>32593158.8</v>
      </c>
      <c r="AW7" s="351">
        <f t="shared" si="1"/>
        <v>32221940.25</v>
      </c>
      <c r="AX7" s="29">
        <v>177765</v>
      </c>
      <c r="AY7" s="30">
        <v>352010</v>
      </c>
      <c r="AZ7" s="13">
        <f t="shared" si="2"/>
        <v>32770923.8</v>
      </c>
      <c r="BA7" s="351">
        <f t="shared" si="3"/>
        <v>32573950.25</v>
      </c>
    </row>
    <row r="8" spans="1:53" ht="28.5">
      <c r="A8" s="1432" t="s">
        <v>124</v>
      </c>
      <c r="B8" s="1256">
        <v>29946</v>
      </c>
      <c r="C8" s="62">
        <v>65438</v>
      </c>
      <c r="D8" s="22">
        <v>12983</v>
      </c>
      <c r="E8" s="23">
        <v>389</v>
      </c>
      <c r="F8" s="19">
        <v>85733</v>
      </c>
      <c r="G8" s="23">
        <v>9241</v>
      </c>
      <c r="H8" s="19">
        <v>3976856</v>
      </c>
      <c r="I8" s="23">
        <v>2635490</v>
      </c>
      <c r="J8" s="19">
        <v>145039</v>
      </c>
      <c r="K8" s="23">
        <v>110596</v>
      </c>
      <c r="L8" s="19">
        <v>337359</v>
      </c>
      <c r="M8" s="23">
        <v>157689</v>
      </c>
      <c r="N8" s="19">
        <v>144485</v>
      </c>
      <c r="O8" s="23">
        <v>105787</v>
      </c>
      <c r="P8" s="19">
        <v>103398</v>
      </c>
      <c r="Q8" s="23">
        <v>229266</v>
      </c>
      <c r="R8" s="19">
        <v>208880</v>
      </c>
      <c r="S8" s="23">
        <v>315733</v>
      </c>
      <c r="T8" s="19">
        <v>91033</v>
      </c>
      <c r="U8" s="23">
        <v>23429</v>
      </c>
      <c r="V8" s="19">
        <v>2095410</v>
      </c>
      <c r="W8" s="23">
        <v>1084036</v>
      </c>
      <c r="X8" s="22">
        <v>4138428</v>
      </c>
      <c r="Y8" s="23">
        <v>2685156</v>
      </c>
      <c r="Z8" s="24">
        <v>28609</v>
      </c>
      <c r="AA8" s="25">
        <v>48321</v>
      </c>
      <c r="AB8" s="19">
        <v>26252.23</v>
      </c>
      <c r="AC8" s="23">
        <v>9268.11</v>
      </c>
      <c r="AD8" s="19">
        <v>25250</v>
      </c>
      <c r="AE8" s="23">
        <v>32633</v>
      </c>
      <c r="AF8" s="19">
        <v>227812</v>
      </c>
      <c r="AG8" s="23">
        <v>384459</v>
      </c>
      <c r="AH8" s="19"/>
      <c r="AI8" s="23">
        <v>22175</v>
      </c>
      <c r="AJ8" s="19">
        <v>264978</v>
      </c>
      <c r="AK8" s="23">
        <v>536801</v>
      </c>
      <c r="AL8" s="19"/>
      <c r="AM8" s="23"/>
      <c r="AN8" s="281">
        <v>2267233</v>
      </c>
      <c r="AO8" s="285">
        <v>1687512</v>
      </c>
      <c r="AP8" s="27">
        <v>205044</v>
      </c>
      <c r="AQ8" s="28">
        <v>323839</v>
      </c>
      <c r="AR8" s="29">
        <v>161280</v>
      </c>
      <c r="AS8" s="30">
        <v>157049</v>
      </c>
      <c r="AT8" s="19">
        <v>54374</v>
      </c>
      <c r="AU8" s="23">
        <v>368569</v>
      </c>
      <c r="AV8" s="13">
        <f t="shared" si="0"/>
        <v>14630382.23</v>
      </c>
      <c r="AW8" s="351">
        <f t="shared" si="1"/>
        <v>10992876.11</v>
      </c>
      <c r="AX8" s="29">
        <v>61215</v>
      </c>
      <c r="AY8" s="30">
        <v>21209</v>
      </c>
      <c r="AZ8" s="13">
        <f t="shared" si="2"/>
        <v>14691597.23</v>
      </c>
      <c r="BA8" s="351">
        <f t="shared" si="3"/>
        <v>11014085.11</v>
      </c>
    </row>
    <row r="9" spans="1:53" ht="28.5">
      <c r="A9" s="1432" t="s">
        <v>125</v>
      </c>
      <c r="B9" s="1256">
        <v>-6880</v>
      </c>
      <c r="C9" s="62"/>
      <c r="D9" s="22">
        <v>-8</v>
      </c>
      <c r="E9" s="23">
        <v>6</v>
      </c>
      <c r="F9" s="19">
        <v>-49491</v>
      </c>
      <c r="G9" s="23">
        <v>-8801</v>
      </c>
      <c r="H9" s="19">
        <v>-1155055</v>
      </c>
      <c r="I9" s="23">
        <v>-1446790</v>
      </c>
      <c r="J9" s="19">
        <v>-84794</v>
      </c>
      <c r="K9" s="23">
        <v>-40617</v>
      </c>
      <c r="L9" s="19">
        <v>-571</v>
      </c>
      <c r="M9" s="23"/>
      <c r="N9" s="19">
        <v>-38992</v>
      </c>
      <c r="O9" s="23">
        <v>-6412</v>
      </c>
      <c r="P9" s="19">
        <v>-65921</v>
      </c>
      <c r="Q9" s="23">
        <v>-81880</v>
      </c>
      <c r="R9" s="19"/>
      <c r="S9" s="23"/>
      <c r="T9" s="19">
        <v>-28010</v>
      </c>
      <c r="U9" s="23">
        <v>-14358</v>
      </c>
      <c r="V9" s="19">
        <v>-1729</v>
      </c>
      <c r="W9" s="23">
        <v>-308462</v>
      </c>
      <c r="X9" s="22">
        <v>-1218621</v>
      </c>
      <c r="Y9" s="23">
        <v>-546801</v>
      </c>
      <c r="Z9" s="24">
        <v>-6058</v>
      </c>
      <c r="AA9" s="25">
        <v>-31149</v>
      </c>
      <c r="AB9" s="19">
        <v>-5586.3</v>
      </c>
      <c r="AC9" s="23">
        <v>-2.48</v>
      </c>
      <c r="AD9" s="19">
        <v>-1175</v>
      </c>
      <c r="AE9" s="23">
        <v>-104</v>
      </c>
      <c r="AF9" s="19">
        <v>-15627</v>
      </c>
      <c r="AG9" s="23">
        <v>-43984</v>
      </c>
      <c r="AH9" s="19"/>
      <c r="AI9" s="23"/>
      <c r="AJ9" s="19">
        <v>-88943</v>
      </c>
      <c r="AK9" s="23">
        <v>-179004</v>
      </c>
      <c r="AL9" s="19"/>
      <c r="AM9" s="23"/>
      <c r="AN9" s="281">
        <v>-593455</v>
      </c>
      <c r="AO9" s="285">
        <v>-1586116</v>
      </c>
      <c r="AP9" s="27">
        <v>-143496</v>
      </c>
      <c r="AQ9" s="28">
        <v>-312429</v>
      </c>
      <c r="AR9" s="29">
        <v>-8799</v>
      </c>
      <c r="AS9" s="30">
        <v>-10582</v>
      </c>
      <c r="AT9" s="19">
        <v>-3378</v>
      </c>
      <c r="AU9" s="23">
        <v>-44034</v>
      </c>
      <c r="AV9" s="13">
        <f t="shared" si="0"/>
        <v>-3516589.3</v>
      </c>
      <c r="AW9" s="351">
        <f t="shared" si="1"/>
        <v>-4661519.48</v>
      </c>
      <c r="AX9" s="29">
        <v>-9100</v>
      </c>
      <c r="AY9" s="30">
        <v>-18785</v>
      </c>
      <c r="AZ9" s="13">
        <f t="shared" si="2"/>
        <v>-3525689.3</v>
      </c>
      <c r="BA9" s="351">
        <f t="shared" si="3"/>
        <v>-4680304.48</v>
      </c>
    </row>
    <row r="10" spans="1:53" ht="42.75">
      <c r="A10" s="1432" t="s">
        <v>126</v>
      </c>
      <c r="B10" s="13"/>
      <c r="C10" s="15"/>
      <c r="D10" s="37">
        <v>10806</v>
      </c>
      <c r="E10" s="38">
        <v>34202</v>
      </c>
      <c r="F10" s="35"/>
      <c r="G10" s="38"/>
      <c r="H10" s="35">
        <v>-138082</v>
      </c>
      <c r="I10" s="38">
        <v>-45556</v>
      </c>
      <c r="J10" s="35"/>
      <c r="K10" s="38"/>
      <c r="L10" s="35"/>
      <c r="M10" s="38"/>
      <c r="N10" s="35">
        <v>-30457</v>
      </c>
      <c r="O10" s="38">
        <v>-19967</v>
      </c>
      <c r="P10" s="35"/>
      <c r="Q10" s="38"/>
      <c r="R10" s="35"/>
      <c r="S10" s="38"/>
      <c r="T10" s="35"/>
      <c r="U10" s="38"/>
      <c r="V10" s="35"/>
      <c r="W10" s="38"/>
      <c r="X10" s="37">
        <v>-45855</v>
      </c>
      <c r="Y10" s="38">
        <v>-14279</v>
      </c>
      <c r="Z10" s="24">
        <v>36637</v>
      </c>
      <c r="AA10" s="25">
        <v>60591</v>
      </c>
      <c r="AB10" s="35">
        <v>-10618.52</v>
      </c>
      <c r="AC10" s="38">
        <v>13802.65</v>
      </c>
      <c r="AD10" s="39"/>
      <c r="AE10" s="40"/>
      <c r="AF10" s="35">
        <v>126461</v>
      </c>
      <c r="AG10" s="38">
        <v>17004</v>
      </c>
      <c r="AH10" s="35"/>
      <c r="AI10" s="38">
        <v>-14255</v>
      </c>
      <c r="AJ10" s="35">
        <v>-27719</v>
      </c>
      <c r="AK10" s="38">
        <v>2313</v>
      </c>
      <c r="AL10" s="19"/>
      <c r="AM10" s="23"/>
      <c r="AN10" s="281">
        <v>63067</v>
      </c>
      <c r="AO10" s="285">
        <v>67929</v>
      </c>
      <c r="AP10" s="27">
        <v>-7929</v>
      </c>
      <c r="AQ10" s="28">
        <v>-757</v>
      </c>
      <c r="AR10" s="29"/>
      <c r="AS10" s="30"/>
      <c r="AT10" s="35">
        <v>165135</v>
      </c>
      <c r="AU10" s="38">
        <v>145591</v>
      </c>
      <c r="AV10" s="13">
        <f t="shared" si="0"/>
        <v>141445.48</v>
      </c>
      <c r="AW10" s="351">
        <f t="shared" si="1"/>
        <v>246618.65</v>
      </c>
      <c r="AX10" s="35"/>
      <c r="AY10" s="38"/>
      <c r="AZ10" s="13">
        <f t="shared" si="2"/>
        <v>141445.48</v>
      </c>
      <c r="BA10" s="351">
        <f t="shared" si="3"/>
        <v>246618.65</v>
      </c>
    </row>
    <row r="11" spans="1:53" ht="14.25">
      <c r="A11" s="1432" t="s">
        <v>127</v>
      </c>
      <c r="B11" s="1256"/>
      <c r="C11" s="62"/>
      <c r="D11" s="22"/>
      <c r="E11" s="23"/>
      <c r="F11" s="19"/>
      <c r="G11" s="23"/>
      <c r="H11" s="19"/>
      <c r="I11" s="23">
        <v>912</v>
      </c>
      <c r="J11" s="19">
        <v>20000</v>
      </c>
      <c r="K11" s="23"/>
      <c r="L11" s="19"/>
      <c r="M11" s="23"/>
      <c r="N11" s="19"/>
      <c r="O11" s="23"/>
      <c r="P11" s="19">
        <v>5679</v>
      </c>
      <c r="Q11" s="23">
        <v>235</v>
      </c>
      <c r="R11" s="19"/>
      <c r="S11" s="23"/>
      <c r="T11" s="19"/>
      <c r="U11" s="23"/>
      <c r="V11" s="19"/>
      <c r="W11" s="23">
        <v>185634</v>
      </c>
      <c r="X11" s="22">
        <v>11531</v>
      </c>
      <c r="Y11" s="23">
        <v>9510</v>
      </c>
      <c r="Z11" s="19">
        <f>82+11192</f>
        <v>11274</v>
      </c>
      <c r="AA11" s="23">
        <f>68+14538</f>
        <v>14606</v>
      </c>
      <c r="AB11" s="19">
        <v>128425.69</v>
      </c>
      <c r="AC11" s="23">
        <v>12825.03</v>
      </c>
      <c r="AD11" s="19"/>
      <c r="AE11" s="23"/>
      <c r="AF11" s="19"/>
      <c r="AG11" s="23"/>
      <c r="AH11" s="19"/>
      <c r="AI11" s="23"/>
      <c r="AJ11" s="19"/>
      <c r="AK11" s="23"/>
      <c r="AL11" s="19"/>
      <c r="AM11" s="23"/>
      <c r="AN11" s="281"/>
      <c r="AO11" s="285"/>
      <c r="AP11" s="27">
        <v>6123</v>
      </c>
      <c r="AQ11" s="28">
        <v>787</v>
      </c>
      <c r="AR11" s="29">
        <v>169</v>
      </c>
      <c r="AS11" s="30">
        <v>1404</v>
      </c>
      <c r="AT11" s="19">
        <v>2</v>
      </c>
      <c r="AU11" s="23">
        <v>1</v>
      </c>
      <c r="AV11" s="13">
        <f t="shared" si="0"/>
        <v>183203.69</v>
      </c>
      <c r="AW11" s="351">
        <f t="shared" si="1"/>
        <v>225914.03</v>
      </c>
      <c r="AX11" s="29"/>
      <c r="AY11" s="30"/>
      <c r="AZ11" s="13">
        <f t="shared" si="2"/>
        <v>183203.69</v>
      </c>
      <c r="BA11" s="351">
        <f t="shared" si="3"/>
        <v>225914.03</v>
      </c>
    </row>
    <row r="12" spans="1:53" s="509" customFormat="1" ht="14.25">
      <c r="A12" s="1433" t="s">
        <v>362</v>
      </c>
      <c r="B12" s="1445">
        <f aca="true" t="shared" si="4" ref="B12:AG12">SUM(B5:B11)</f>
        <v>3154920</v>
      </c>
      <c r="C12" s="511">
        <f t="shared" si="4"/>
        <v>3817078</v>
      </c>
      <c r="D12" s="512">
        <f t="shared" si="4"/>
        <v>93500</v>
      </c>
      <c r="E12" s="511">
        <f t="shared" si="4"/>
        <v>110249</v>
      </c>
      <c r="F12" s="510">
        <f t="shared" si="4"/>
        <v>653900</v>
      </c>
      <c r="G12" s="511">
        <f t="shared" si="4"/>
        <v>904575</v>
      </c>
      <c r="H12" s="510">
        <f t="shared" si="4"/>
        <v>13174052</v>
      </c>
      <c r="I12" s="511">
        <f t="shared" si="4"/>
        <v>11234615</v>
      </c>
      <c r="J12" s="510">
        <f t="shared" si="4"/>
        <v>579698</v>
      </c>
      <c r="K12" s="511">
        <f t="shared" si="4"/>
        <v>1189681</v>
      </c>
      <c r="L12" s="510">
        <f t="shared" si="4"/>
        <v>2898991</v>
      </c>
      <c r="M12" s="511">
        <f t="shared" si="4"/>
        <v>2554190</v>
      </c>
      <c r="N12" s="510">
        <f t="shared" si="4"/>
        <v>1827556</v>
      </c>
      <c r="O12" s="511">
        <f t="shared" si="4"/>
        <v>2569163</v>
      </c>
      <c r="P12" s="510">
        <f t="shared" si="4"/>
        <v>308162</v>
      </c>
      <c r="Q12" s="511">
        <f t="shared" si="4"/>
        <v>864459</v>
      </c>
      <c r="R12" s="510">
        <f t="shared" si="4"/>
        <v>1610731</v>
      </c>
      <c r="S12" s="511">
        <f t="shared" si="4"/>
        <v>2565008</v>
      </c>
      <c r="T12" s="510">
        <f t="shared" si="4"/>
        <v>582040</v>
      </c>
      <c r="U12" s="511">
        <f t="shared" si="4"/>
        <v>1324120</v>
      </c>
      <c r="V12" s="510">
        <f t="shared" si="4"/>
        <v>16384660</v>
      </c>
      <c r="W12" s="511">
        <f t="shared" si="4"/>
        <v>16477642</v>
      </c>
      <c r="X12" s="512">
        <f>SUM(X5:X11)</f>
        <v>27569213</v>
      </c>
      <c r="Y12" s="511">
        <f t="shared" si="4"/>
        <v>26525091</v>
      </c>
      <c r="Z12" s="510">
        <f t="shared" si="4"/>
        <v>1476114</v>
      </c>
      <c r="AA12" s="511">
        <f t="shared" si="4"/>
        <v>1707646</v>
      </c>
      <c r="AB12" s="510">
        <f t="shared" si="4"/>
        <v>2115845.92</v>
      </c>
      <c r="AC12" s="511">
        <f t="shared" si="4"/>
        <v>1392654.05</v>
      </c>
      <c r="AD12" s="510">
        <f t="shared" si="4"/>
        <v>7507002</v>
      </c>
      <c r="AE12" s="511">
        <f t="shared" si="4"/>
        <v>6684628</v>
      </c>
      <c r="AF12" s="510">
        <f t="shared" si="4"/>
        <v>6347884</v>
      </c>
      <c r="AG12" s="511">
        <f t="shared" si="4"/>
        <v>6780704</v>
      </c>
      <c r="AH12" s="510">
        <f aca="true" t="shared" si="5" ref="AH12:AY12">SUM(AH5:AH11)</f>
        <v>0</v>
      </c>
      <c r="AI12" s="511">
        <f t="shared" si="5"/>
        <v>1671863</v>
      </c>
      <c r="AJ12" s="510">
        <f t="shared" si="5"/>
        <v>3350777</v>
      </c>
      <c r="AK12" s="511">
        <f t="shared" si="5"/>
        <v>3309315</v>
      </c>
      <c r="AL12" s="510">
        <f t="shared" si="5"/>
        <v>0</v>
      </c>
      <c r="AM12" s="511">
        <f t="shared" si="5"/>
        <v>0</v>
      </c>
      <c r="AN12" s="510">
        <f t="shared" si="5"/>
        <v>23735534</v>
      </c>
      <c r="AO12" s="511">
        <f t="shared" si="5"/>
        <v>19461442</v>
      </c>
      <c r="AP12" s="510">
        <f t="shared" si="5"/>
        <v>1171173</v>
      </c>
      <c r="AQ12" s="511">
        <f t="shared" si="5"/>
        <v>1116444</v>
      </c>
      <c r="AR12" s="510">
        <f t="shared" si="5"/>
        <v>2136139</v>
      </c>
      <c r="AS12" s="511">
        <f t="shared" si="5"/>
        <v>1386091</v>
      </c>
      <c r="AT12" s="510">
        <f t="shared" si="5"/>
        <v>2575328</v>
      </c>
      <c r="AU12" s="511">
        <f t="shared" si="5"/>
        <v>2481262</v>
      </c>
      <c r="AV12" s="504">
        <f t="shared" si="0"/>
        <v>119253219.92</v>
      </c>
      <c r="AW12" s="508">
        <f t="shared" si="1"/>
        <v>116127920.05</v>
      </c>
      <c r="AX12" s="510">
        <f t="shared" si="5"/>
        <v>29119981</v>
      </c>
      <c r="AY12" s="511">
        <f t="shared" si="5"/>
        <v>27331863</v>
      </c>
      <c r="AZ12" s="504">
        <f t="shared" si="2"/>
        <v>148373200.92000002</v>
      </c>
      <c r="BA12" s="508">
        <f t="shared" si="3"/>
        <v>143459783.05</v>
      </c>
    </row>
    <row r="13" spans="1:53" ht="42.75">
      <c r="A13" s="1432" t="s">
        <v>128</v>
      </c>
      <c r="B13" s="1256">
        <v>453565</v>
      </c>
      <c r="C13" s="62">
        <v>378860</v>
      </c>
      <c r="D13" s="22">
        <v>245505</v>
      </c>
      <c r="E13" s="23">
        <v>70085</v>
      </c>
      <c r="F13" s="19">
        <f>30154+43801+490023</f>
        <v>563978</v>
      </c>
      <c r="G13" s="23">
        <v>612102</v>
      </c>
      <c r="H13" s="19">
        <v>434615</v>
      </c>
      <c r="I13" s="23">
        <v>373345</v>
      </c>
      <c r="J13" s="19">
        <f>65034+51108</f>
        <v>116142</v>
      </c>
      <c r="K13" s="23">
        <f>78181+36560</f>
        <v>114741</v>
      </c>
      <c r="L13" s="19">
        <f>36127+19107</f>
        <v>55234</v>
      </c>
      <c r="M13" s="23">
        <f>45068+17892</f>
        <v>62960</v>
      </c>
      <c r="N13" s="19">
        <v>68544</v>
      </c>
      <c r="O13" s="23">
        <v>613804</v>
      </c>
      <c r="P13" s="19">
        <f>6804+31481+1717683</f>
        <v>1755968</v>
      </c>
      <c r="Q13" s="23">
        <f>10386+31514+2427305</f>
        <v>2469205</v>
      </c>
      <c r="R13" s="19">
        <f>2261+44059</f>
        <v>46320</v>
      </c>
      <c r="S13" s="23">
        <f>2407+37562</f>
        <v>39969</v>
      </c>
      <c r="T13" s="19">
        <f>27876+60400+1886874</f>
        <v>1975150</v>
      </c>
      <c r="U13" s="23">
        <f>14581+56412+2516312</f>
        <v>2587305</v>
      </c>
      <c r="V13" s="19">
        <f>73168+294299+269724</f>
        <v>637191</v>
      </c>
      <c r="W13" s="23">
        <f>80331+254162+953642</f>
        <v>1288135</v>
      </c>
      <c r="X13" s="22">
        <f>248026+105611</f>
        <v>353637</v>
      </c>
      <c r="Y13" s="23">
        <f>341269+78333</f>
        <v>419602</v>
      </c>
      <c r="Z13" s="19">
        <f>57370+28316</f>
        <v>85686</v>
      </c>
      <c r="AA13" s="23">
        <f>58255+33017</f>
        <v>91272</v>
      </c>
      <c r="AB13" s="19">
        <f>108719.85+32031.79+12803.95</f>
        <v>153555.59000000003</v>
      </c>
      <c r="AC13" s="23">
        <f>154986.79+22021.57+153886.63</f>
        <v>330894.99</v>
      </c>
      <c r="AD13" s="19">
        <v>66257</v>
      </c>
      <c r="AE13" s="23">
        <v>31678</v>
      </c>
      <c r="AF13" s="19">
        <f>390734+176342</f>
        <v>567076</v>
      </c>
      <c r="AG13" s="23">
        <f>111115+180565</f>
        <v>291680</v>
      </c>
      <c r="AH13" s="19"/>
      <c r="AI13" s="23">
        <f>304176+5677+26905</f>
        <v>336758</v>
      </c>
      <c r="AJ13" s="19">
        <f>272422+98257</f>
        <v>370679</v>
      </c>
      <c r="AK13" s="23">
        <f>421027+82050</f>
        <v>503077</v>
      </c>
      <c r="AL13" s="19"/>
      <c r="AM13" s="23"/>
      <c r="AN13" s="280"/>
      <c r="AO13" s="284"/>
      <c r="AP13" s="27">
        <f>5257+24122</f>
        <v>29379</v>
      </c>
      <c r="AQ13" s="28">
        <f>11508+757531</f>
        <v>769039</v>
      </c>
      <c r="AR13" s="29">
        <f>27537+60562</f>
        <v>88099</v>
      </c>
      <c r="AS13" s="30">
        <f>38916+46800</f>
        <v>85716</v>
      </c>
      <c r="AT13" s="19">
        <f>47959+74873</f>
        <v>122832</v>
      </c>
      <c r="AU13" s="23">
        <f>58580+41390</f>
        <v>99970</v>
      </c>
      <c r="AV13" s="13">
        <f t="shared" si="0"/>
        <v>8189412.59</v>
      </c>
      <c r="AW13" s="351">
        <f t="shared" si="1"/>
        <v>11570197.99</v>
      </c>
      <c r="AX13" s="29">
        <v>4640</v>
      </c>
      <c r="AY13" s="30">
        <v>4503</v>
      </c>
      <c r="AZ13" s="13">
        <f t="shared" si="2"/>
        <v>8194052.59</v>
      </c>
      <c r="BA13" s="351">
        <f t="shared" si="3"/>
        <v>11574700.99</v>
      </c>
    </row>
    <row r="14" spans="1:53" ht="14.25">
      <c r="A14" s="1432" t="s">
        <v>129</v>
      </c>
      <c r="B14" s="1256"/>
      <c r="C14" s="62"/>
      <c r="D14" s="22"/>
      <c r="E14" s="23"/>
      <c r="F14" s="19"/>
      <c r="G14" s="23"/>
      <c r="H14" s="19"/>
      <c r="I14" s="23"/>
      <c r="J14" s="19"/>
      <c r="K14" s="23"/>
      <c r="L14" s="19"/>
      <c r="M14" s="23"/>
      <c r="N14" s="19"/>
      <c r="O14" s="23"/>
      <c r="P14" s="19"/>
      <c r="Q14" s="23"/>
      <c r="R14" s="19"/>
      <c r="S14" s="23"/>
      <c r="T14" s="19"/>
      <c r="U14" s="23"/>
      <c r="V14" s="19"/>
      <c r="W14" s="23"/>
      <c r="X14" s="22"/>
      <c r="Y14" s="23"/>
      <c r="Z14" s="19"/>
      <c r="AA14" s="23"/>
      <c r="AB14" s="19"/>
      <c r="AC14" s="23"/>
      <c r="AD14" s="19"/>
      <c r="AE14" s="23"/>
      <c r="AF14" s="19"/>
      <c r="AG14" s="23"/>
      <c r="AH14" s="19"/>
      <c r="AI14" s="23"/>
      <c r="AJ14" s="19"/>
      <c r="AK14" s="23"/>
      <c r="AL14" s="19"/>
      <c r="AM14" s="23"/>
      <c r="AN14" s="282"/>
      <c r="AO14" s="286"/>
      <c r="AP14" s="27"/>
      <c r="AQ14" s="28"/>
      <c r="AR14" s="29"/>
      <c r="AS14" s="30"/>
      <c r="AT14" s="19"/>
      <c r="AU14" s="23"/>
      <c r="AV14" s="13">
        <f t="shared" si="0"/>
        <v>0</v>
      </c>
      <c r="AW14" s="351">
        <f t="shared" si="1"/>
        <v>0</v>
      </c>
      <c r="AX14" s="29"/>
      <c r="AY14" s="30"/>
      <c r="AZ14" s="13">
        <f t="shared" si="2"/>
        <v>0</v>
      </c>
      <c r="BA14" s="351">
        <f t="shared" si="3"/>
        <v>0</v>
      </c>
    </row>
    <row r="15" spans="1:53" ht="14.25">
      <c r="A15" s="1432" t="s">
        <v>130</v>
      </c>
      <c r="B15" s="13">
        <v>50144</v>
      </c>
      <c r="C15" s="15">
        <v>88826</v>
      </c>
      <c r="D15" s="37"/>
      <c r="E15" s="38"/>
      <c r="F15" s="35"/>
      <c r="G15" s="38"/>
      <c r="H15" s="35"/>
      <c r="I15" s="38"/>
      <c r="J15" s="35"/>
      <c r="K15" s="38"/>
      <c r="L15" s="35"/>
      <c r="M15" s="38"/>
      <c r="N15" s="35"/>
      <c r="O15" s="38"/>
      <c r="P15" s="35"/>
      <c r="Q15" s="38"/>
      <c r="R15" s="35"/>
      <c r="S15" s="38"/>
      <c r="T15" s="35"/>
      <c r="U15" s="38"/>
      <c r="V15" s="35"/>
      <c r="W15" s="38"/>
      <c r="X15" s="37"/>
      <c r="Y15" s="38"/>
      <c r="Z15" s="24"/>
      <c r="AA15" s="25"/>
      <c r="AB15" s="35"/>
      <c r="AC15" s="38"/>
      <c r="AD15" s="39"/>
      <c r="AE15" s="40"/>
      <c r="AF15" s="35"/>
      <c r="AG15" s="38"/>
      <c r="AH15" s="35"/>
      <c r="AI15" s="38"/>
      <c r="AJ15" s="35"/>
      <c r="AK15" s="38"/>
      <c r="AL15" s="19"/>
      <c r="AM15" s="23"/>
      <c r="AN15" s="281">
        <v>12165</v>
      </c>
      <c r="AO15" s="285">
        <v>5365</v>
      </c>
      <c r="AP15" s="27"/>
      <c r="AQ15" s="28"/>
      <c r="AR15" s="29"/>
      <c r="AS15" s="30"/>
      <c r="AT15" s="35"/>
      <c r="AU15" s="38"/>
      <c r="AV15" s="13">
        <f t="shared" si="0"/>
        <v>62309</v>
      </c>
      <c r="AW15" s="351">
        <f t="shared" si="1"/>
        <v>94191</v>
      </c>
      <c r="AX15" s="35"/>
      <c r="AY15" s="38"/>
      <c r="AZ15" s="13">
        <f t="shared" si="2"/>
        <v>62309</v>
      </c>
      <c r="BA15" s="351">
        <f t="shared" si="3"/>
        <v>94191</v>
      </c>
    </row>
    <row r="16" spans="1:53" ht="28.5">
      <c r="A16" s="1432" t="s">
        <v>131</v>
      </c>
      <c r="B16" s="1256"/>
      <c r="C16" s="62"/>
      <c r="D16" s="22"/>
      <c r="E16" s="23"/>
      <c r="F16" s="19"/>
      <c r="G16" s="23"/>
      <c r="H16" s="19"/>
      <c r="I16" s="23"/>
      <c r="J16" s="19"/>
      <c r="K16" s="23"/>
      <c r="L16" s="19"/>
      <c r="M16" s="23"/>
      <c r="N16" s="19"/>
      <c r="O16" s="23"/>
      <c r="P16" s="19"/>
      <c r="Q16" s="23"/>
      <c r="R16" s="19"/>
      <c r="S16" s="23"/>
      <c r="T16" s="19"/>
      <c r="U16" s="23"/>
      <c r="V16" s="19"/>
      <c r="W16" s="23"/>
      <c r="X16" s="22"/>
      <c r="Y16" s="23"/>
      <c r="Z16" s="24"/>
      <c r="AA16" s="25"/>
      <c r="AB16" s="19"/>
      <c r="AC16" s="23"/>
      <c r="AD16" s="19"/>
      <c r="AE16" s="23"/>
      <c r="AF16" s="19"/>
      <c r="AG16" s="23"/>
      <c r="AH16" s="19"/>
      <c r="AI16" s="23"/>
      <c r="AJ16" s="19"/>
      <c r="AK16" s="23"/>
      <c r="AL16" s="19"/>
      <c r="AM16" s="23"/>
      <c r="AN16" s="281">
        <v>141</v>
      </c>
      <c r="AO16" s="285">
        <v>2609</v>
      </c>
      <c r="AP16" s="27"/>
      <c r="AQ16" s="28"/>
      <c r="AR16" s="29"/>
      <c r="AS16" s="30"/>
      <c r="AT16" s="19"/>
      <c r="AU16" s="23"/>
      <c r="AV16" s="13">
        <f t="shared" si="0"/>
        <v>141</v>
      </c>
      <c r="AW16" s="351">
        <f t="shared" si="1"/>
        <v>2609</v>
      </c>
      <c r="AX16" s="19"/>
      <c r="AY16" s="23"/>
      <c r="AZ16" s="13">
        <f t="shared" si="2"/>
        <v>141</v>
      </c>
      <c r="BA16" s="351">
        <f t="shared" si="3"/>
        <v>2609</v>
      </c>
    </row>
    <row r="17" spans="1:53" ht="14.25">
      <c r="A17" s="1432" t="s">
        <v>132</v>
      </c>
      <c r="B17" s="1256"/>
      <c r="C17" s="62"/>
      <c r="D17" s="22"/>
      <c r="E17" s="23"/>
      <c r="F17" s="19"/>
      <c r="G17" s="23"/>
      <c r="H17" s="19"/>
      <c r="I17" s="23"/>
      <c r="J17" s="19"/>
      <c r="K17" s="23"/>
      <c r="L17" s="19"/>
      <c r="M17" s="23"/>
      <c r="N17" s="19"/>
      <c r="O17" s="23"/>
      <c r="P17" s="19"/>
      <c r="Q17" s="23"/>
      <c r="R17" s="19"/>
      <c r="S17" s="23"/>
      <c r="T17" s="19"/>
      <c r="U17" s="23"/>
      <c r="V17" s="19"/>
      <c r="W17" s="23"/>
      <c r="X17" s="22"/>
      <c r="Y17" s="23"/>
      <c r="Z17" s="24"/>
      <c r="AA17" s="25"/>
      <c r="AB17" s="19"/>
      <c r="AC17" s="23"/>
      <c r="AD17" s="19"/>
      <c r="AE17" s="23"/>
      <c r="AF17" s="19"/>
      <c r="AG17" s="23"/>
      <c r="AH17" s="19"/>
      <c r="AI17" s="23"/>
      <c r="AJ17" s="19"/>
      <c r="AK17" s="23"/>
      <c r="AL17" s="19"/>
      <c r="AM17" s="23"/>
      <c r="AN17" s="281">
        <v>2074</v>
      </c>
      <c r="AO17" s="285">
        <v>3910</v>
      </c>
      <c r="AP17" s="27"/>
      <c r="AQ17" s="28"/>
      <c r="AR17" s="29"/>
      <c r="AS17" s="30"/>
      <c r="AT17" s="19"/>
      <c r="AU17" s="23"/>
      <c r="AV17" s="13">
        <f t="shared" si="0"/>
        <v>2074</v>
      </c>
      <c r="AW17" s="351">
        <f t="shared" si="1"/>
        <v>3910</v>
      </c>
      <c r="AX17" s="19"/>
      <c r="AY17" s="23"/>
      <c r="AZ17" s="13">
        <f t="shared" si="2"/>
        <v>2074</v>
      </c>
      <c r="BA17" s="351">
        <f t="shared" si="3"/>
        <v>3910</v>
      </c>
    </row>
    <row r="18" spans="1:53" ht="14.25">
      <c r="A18" s="1432" t="s">
        <v>133</v>
      </c>
      <c r="B18" s="1256"/>
      <c r="C18" s="62"/>
      <c r="D18" s="22"/>
      <c r="E18" s="23">
        <v>24905</v>
      </c>
      <c r="F18" s="19"/>
      <c r="G18" s="23"/>
      <c r="H18" s="19">
        <v>82369</v>
      </c>
      <c r="I18" s="23">
        <v>83641</v>
      </c>
      <c r="J18" s="19"/>
      <c r="K18" s="23"/>
      <c r="L18" s="19">
        <f>5652+31850</f>
        <v>37502</v>
      </c>
      <c r="M18" s="23">
        <f>42430+150850+42362</f>
        <v>235642</v>
      </c>
      <c r="N18" s="19">
        <f>16013+277902</f>
        <v>293915</v>
      </c>
      <c r="O18" s="23">
        <f>54348+838448</f>
        <v>892796</v>
      </c>
      <c r="P18" s="19"/>
      <c r="Q18" s="23"/>
      <c r="R18" s="19">
        <v>850313</v>
      </c>
      <c r="S18" s="23">
        <v>1998085</v>
      </c>
      <c r="T18" s="19"/>
      <c r="U18" s="23"/>
      <c r="V18" s="19"/>
      <c r="W18" s="23"/>
      <c r="X18" s="22"/>
      <c r="Y18" s="23"/>
      <c r="Z18" s="24"/>
      <c r="AA18" s="25"/>
      <c r="AB18" s="19"/>
      <c r="AC18" s="23"/>
      <c r="AD18" s="19"/>
      <c r="AE18" s="23"/>
      <c r="AF18" s="19"/>
      <c r="AG18" s="23"/>
      <c r="AH18" s="19"/>
      <c r="AI18" s="23"/>
      <c r="AJ18" s="19"/>
      <c r="AK18" s="23"/>
      <c r="AL18" s="19"/>
      <c r="AM18" s="23"/>
      <c r="AN18" s="281">
        <v>32948</v>
      </c>
      <c r="AO18" s="285">
        <v>249387</v>
      </c>
      <c r="AP18" s="27"/>
      <c r="AQ18" s="28"/>
      <c r="AR18" s="29"/>
      <c r="AS18" s="30"/>
      <c r="AT18" s="19"/>
      <c r="AU18" s="23"/>
      <c r="AV18" s="13">
        <f t="shared" si="0"/>
        <v>1297047</v>
      </c>
      <c r="AW18" s="351">
        <f t="shared" si="1"/>
        <v>3484456</v>
      </c>
      <c r="AX18" s="19"/>
      <c r="AY18" s="23"/>
      <c r="AZ18" s="13">
        <f t="shared" si="2"/>
        <v>1297047</v>
      </c>
      <c r="BA18" s="351">
        <f t="shared" si="3"/>
        <v>3484456</v>
      </c>
    </row>
    <row r="19" spans="1:53" ht="28.5">
      <c r="A19" s="1432" t="s">
        <v>134</v>
      </c>
      <c r="B19" s="1256"/>
      <c r="C19" s="62"/>
      <c r="D19" s="22"/>
      <c r="E19" s="23"/>
      <c r="F19" s="19"/>
      <c r="G19" s="23"/>
      <c r="H19" s="19"/>
      <c r="I19" s="23"/>
      <c r="J19" s="19"/>
      <c r="K19" s="23"/>
      <c r="L19" s="19"/>
      <c r="M19" s="23"/>
      <c r="N19" s="19"/>
      <c r="O19" s="23"/>
      <c r="P19" s="19"/>
      <c r="Q19" s="23"/>
      <c r="R19" s="19">
        <v>6733</v>
      </c>
      <c r="S19" s="23">
        <v>12304</v>
      </c>
      <c r="T19" s="19"/>
      <c r="U19" s="23"/>
      <c r="V19" s="19"/>
      <c r="W19" s="23"/>
      <c r="X19" s="22"/>
      <c r="Y19" s="23"/>
      <c r="Z19" s="24"/>
      <c r="AA19" s="25"/>
      <c r="AB19" s="19"/>
      <c r="AC19" s="23"/>
      <c r="AD19" s="19">
        <v>96610</v>
      </c>
      <c r="AE19" s="23">
        <v>37000</v>
      </c>
      <c r="AF19" s="19"/>
      <c r="AG19" s="23"/>
      <c r="AH19" s="19"/>
      <c r="AI19" s="23"/>
      <c r="AJ19" s="19"/>
      <c r="AK19" s="23"/>
      <c r="AL19" s="19"/>
      <c r="AM19" s="23"/>
      <c r="AN19" s="281">
        <v>262521</v>
      </c>
      <c r="AO19" s="285">
        <v>221697</v>
      </c>
      <c r="AP19" s="27">
        <v>11634</v>
      </c>
      <c r="AQ19" s="28">
        <v>49773</v>
      </c>
      <c r="AR19" s="29">
        <v>16700</v>
      </c>
      <c r="AS19" s="30">
        <v>15210</v>
      </c>
      <c r="AT19" s="19">
        <v>8624</v>
      </c>
      <c r="AU19" s="23">
        <v>7383</v>
      </c>
      <c r="AV19" s="13">
        <f t="shared" si="0"/>
        <v>402822</v>
      </c>
      <c r="AW19" s="351">
        <f t="shared" si="1"/>
        <v>343367</v>
      </c>
      <c r="AX19" s="19"/>
      <c r="AY19" s="23"/>
      <c r="AZ19" s="13">
        <f t="shared" si="2"/>
        <v>402822</v>
      </c>
      <c r="BA19" s="351">
        <f t="shared" si="3"/>
        <v>343367</v>
      </c>
    </row>
    <row r="20" spans="1:53" ht="14.25">
      <c r="A20" s="1432" t="s">
        <v>135</v>
      </c>
      <c r="B20" s="13"/>
      <c r="C20" s="15"/>
      <c r="D20" s="37"/>
      <c r="E20" s="38"/>
      <c r="F20" s="35"/>
      <c r="G20" s="38"/>
      <c r="H20" s="35"/>
      <c r="I20" s="38"/>
      <c r="J20" s="35"/>
      <c r="K20" s="38"/>
      <c r="L20" s="35"/>
      <c r="M20" s="38">
        <v>1186</v>
      </c>
      <c r="N20" s="35"/>
      <c r="O20" s="38"/>
      <c r="P20" s="35"/>
      <c r="Q20" s="38"/>
      <c r="R20" s="35"/>
      <c r="S20" s="38"/>
      <c r="T20" s="35"/>
      <c r="U20" s="38"/>
      <c r="V20" s="35"/>
      <c r="W20" s="38"/>
      <c r="X20" s="37"/>
      <c r="Y20" s="38"/>
      <c r="Z20" s="24"/>
      <c r="AA20" s="25"/>
      <c r="AB20" s="35"/>
      <c r="AC20" s="38"/>
      <c r="AD20" s="39"/>
      <c r="AE20" s="40"/>
      <c r="AF20" s="35"/>
      <c r="AG20" s="38"/>
      <c r="AH20" s="35"/>
      <c r="AI20" s="38"/>
      <c r="AJ20" s="35"/>
      <c r="AK20" s="38"/>
      <c r="AL20" s="19"/>
      <c r="AM20" s="23"/>
      <c r="AN20" s="282"/>
      <c r="AO20" s="286"/>
      <c r="AP20" s="27"/>
      <c r="AQ20" s="28"/>
      <c r="AR20" s="29"/>
      <c r="AS20" s="30"/>
      <c r="AT20" s="35"/>
      <c r="AU20" s="38">
        <v>138</v>
      </c>
      <c r="AV20" s="13">
        <f t="shared" si="0"/>
        <v>0</v>
      </c>
      <c r="AW20" s="351">
        <f t="shared" si="1"/>
        <v>1324</v>
      </c>
      <c r="AX20" s="35"/>
      <c r="AY20" s="38"/>
      <c r="AZ20" s="13">
        <f t="shared" si="2"/>
        <v>0</v>
      </c>
      <c r="BA20" s="351">
        <f t="shared" si="3"/>
        <v>1324</v>
      </c>
    </row>
    <row r="21" spans="1:53" ht="28.5">
      <c r="A21" s="1432" t="s">
        <v>136</v>
      </c>
      <c r="B21" s="1256">
        <f>400+1471331</f>
        <v>1471731</v>
      </c>
      <c r="C21" s="62">
        <f>1832020+424800</f>
        <v>2256820</v>
      </c>
      <c r="D21" s="22">
        <v>733906</v>
      </c>
      <c r="E21" s="23">
        <v>799926</v>
      </c>
      <c r="F21" s="19">
        <v>519403</v>
      </c>
      <c r="G21" s="23">
        <v>753904</v>
      </c>
      <c r="H21" s="19">
        <f>4982481+1152056</f>
        <v>6134537</v>
      </c>
      <c r="I21" s="23">
        <f>1462100+2849183</f>
        <v>4311283</v>
      </c>
      <c r="J21" s="19">
        <v>2004007</v>
      </c>
      <c r="K21" s="23">
        <v>2872984</v>
      </c>
      <c r="L21" s="19">
        <f>1419409+365591</f>
        <v>1785000</v>
      </c>
      <c r="M21" s="23">
        <f>6550+612415+84589+25812</f>
        <v>729366</v>
      </c>
      <c r="N21" s="293">
        <v>83212</v>
      </c>
      <c r="O21" s="23">
        <v>338752</v>
      </c>
      <c r="P21" s="19">
        <v>933561</v>
      </c>
      <c r="Q21" s="23">
        <v>826567</v>
      </c>
      <c r="R21" s="19">
        <v>95504</v>
      </c>
      <c r="S21" s="23">
        <v>92908</v>
      </c>
      <c r="T21" s="19">
        <v>85148</v>
      </c>
      <c r="U21" s="23">
        <v>224439</v>
      </c>
      <c r="V21" s="19">
        <v>2585591</v>
      </c>
      <c r="W21" s="23">
        <v>93815</v>
      </c>
      <c r="X21" s="22">
        <f>979474+14768321</f>
        <v>15747795</v>
      </c>
      <c r="Y21" s="23">
        <f>4435307+10534784</f>
        <v>14970091</v>
      </c>
      <c r="Z21" s="24">
        <v>31295</v>
      </c>
      <c r="AA21" s="25">
        <v>4796</v>
      </c>
      <c r="AB21" s="19">
        <v>1679079.72</v>
      </c>
      <c r="AC21" s="23">
        <v>1054476.44</v>
      </c>
      <c r="AD21" s="19">
        <f>21136+70858</f>
        <v>91994</v>
      </c>
      <c r="AE21" s="23">
        <f>29355+215918</f>
        <v>245273</v>
      </c>
      <c r="AF21" s="19">
        <f>501871+171755</f>
        <v>673626</v>
      </c>
      <c r="AG21" s="23">
        <f>238744+170969</f>
        <v>409713</v>
      </c>
      <c r="AH21" s="19"/>
      <c r="AI21" s="23">
        <f>344520</f>
        <v>344520</v>
      </c>
      <c r="AJ21" s="19">
        <f>634749+1842541</f>
        <v>2477290</v>
      </c>
      <c r="AK21" s="23">
        <f>1447708+653422</f>
        <v>2101130</v>
      </c>
      <c r="AL21" s="19"/>
      <c r="AM21" s="23"/>
      <c r="AN21" s="282">
        <v>8247937</v>
      </c>
      <c r="AO21" s="286">
        <v>4762804</v>
      </c>
      <c r="AP21" s="27">
        <v>19596</v>
      </c>
      <c r="AQ21" s="28">
        <v>1761</v>
      </c>
      <c r="AR21" s="29">
        <f>748903+99425+180993+170142</f>
        <v>1199463</v>
      </c>
      <c r="AS21" s="30">
        <f>38806+89055+229408</f>
        <v>357269</v>
      </c>
      <c r="AT21" s="19">
        <v>1757062</v>
      </c>
      <c r="AU21" s="23">
        <v>1674517</v>
      </c>
      <c r="AV21" s="13">
        <f t="shared" si="0"/>
        <v>48356737.72</v>
      </c>
      <c r="AW21" s="351">
        <f t="shared" si="1"/>
        <v>39227114.44</v>
      </c>
      <c r="AX21" s="29">
        <v>47597</v>
      </c>
      <c r="AY21" s="30">
        <v>61145</v>
      </c>
      <c r="AZ21" s="13">
        <f t="shared" si="2"/>
        <v>48404334.72</v>
      </c>
      <c r="BA21" s="351">
        <f t="shared" si="3"/>
        <v>39288259.44</v>
      </c>
    </row>
    <row r="22" spans="1:53" ht="28.5">
      <c r="A22" s="1432" t="s">
        <v>137</v>
      </c>
      <c r="B22" s="1256"/>
      <c r="C22" s="62"/>
      <c r="D22" s="22"/>
      <c r="E22" s="23"/>
      <c r="F22" s="19"/>
      <c r="G22" s="23"/>
      <c r="H22" s="19"/>
      <c r="I22" s="23"/>
      <c r="J22" s="19"/>
      <c r="K22" s="23"/>
      <c r="L22" s="19">
        <v>65</v>
      </c>
      <c r="M22" s="23">
        <v>474243</v>
      </c>
      <c r="N22" s="19"/>
      <c r="O22" s="23"/>
      <c r="P22" s="19"/>
      <c r="Q22" s="23"/>
      <c r="R22" s="19"/>
      <c r="S22" s="23"/>
      <c r="T22" s="19"/>
      <c r="U22" s="23"/>
      <c r="V22" s="19"/>
      <c r="W22" s="23"/>
      <c r="X22" s="22"/>
      <c r="Y22" s="23"/>
      <c r="Z22" s="24"/>
      <c r="AA22" s="25"/>
      <c r="AB22" s="19"/>
      <c r="AC22" s="23"/>
      <c r="AD22" s="19"/>
      <c r="AE22" s="23"/>
      <c r="AF22" s="19"/>
      <c r="AG22" s="23"/>
      <c r="AH22" s="19"/>
      <c r="AI22" s="23"/>
      <c r="AJ22" s="19"/>
      <c r="AK22" s="23"/>
      <c r="AL22" s="19"/>
      <c r="AM22" s="23"/>
      <c r="AN22" s="280"/>
      <c r="AO22" s="284"/>
      <c r="AP22" s="27"/>
      <c r="AQ22" s="28"/>
      <c r="AR22" s="29"/>
      <c r="AS22" s="30"/>
      <c r="AT22" s="19"/>
      <c r="AU22" s="23"/>
      <c r="AV22" s="13">
        <f t="shared" si="0"/>
        <v>65</v>
      </c>
      <c r="AW22" s="351">
        <f t="shared" si="1"/>
        <v>474243</v>
      </c>
      <c r="AX22" s="29"/>
      <c r="AY22" s="30"/>
      <c r="AZ22" s="13">
        <f t="shared" si="2"/>
        <v>65</v>
      </c>
      <c r="BA22" s="351">
        <f t="shared" si="3"/>
        <v>474243</v>
      </c>
    </row>
    <row r="23" spans="1:53" ht="28.5">
      <c r="A23" s="1432" t="s">
        <v>138</v>
      </c>
      <c r="B23" s="1256"/>
      <c r="C23" s="62">
        <v>48276</v>
      </c>
      <c r="D23" s="22"/>
      <c r="E23" s="23"/>
      <c r="F23" s="19">
        <v>-2057</v>
      </c>
      <c r="G23" s="23">
        <v>31674</v>
      </c>
      <c r="H23" s="19">
        <v>-414969</v>
      </c>
      <c r="I23" s="23">
        <v>1230079</v>
      </c>
      <c r="J23" s="19"/>
      <c r="K23" s="23">
        <v>350000</v>
      </c>
      <c r="L23" s="19"/>
      <c r="M23" s="23"/>
      <c r="N23" s="19">
        <v>657827</v>
      </c>
      <c r="O23" s="23">
        <v>2121641</v>
      </c>
      <c r="P23" s="19">
        <v>-24449</v>
      </c>
      <c r="Q23" s="23">
        <v>420236</v>
      </c>
      <c r="R23" s="19"/>
      <c r="S23" s="23">
        <v>132750</v>
      </c>
      <c r="T23" s="19"/>
      <c r="U23" s="23"/>
      <c r="V23" s="19">
        <v>-373060</v>
      </c>
      <c r="W23" s="23">
        <v>1978450</v>
      </c>
      <c r="X23" s="22">
        <v>285843</v>
      </c>
      <c r="Y23" s="23">
        <v>465584</v>
      </c>
      <c r="Z23" s="24">
        <v>9261</v>
      </c>
      <c r="AA23" s="25">
        <v>-5524</v>
      </c>
      <c r="AB23" s="19">
        <v>-27500</v>
      </c>
      <c r="AC23" s="23">
        <v>975297.7</v>
      </c>
      <c r="AD23" s="19">
        <v>3196</v>
      </c>
      <c r="AE23" s="23">
        <v>749</v>
      </c>
      <c r="AF23" s="19">
        <v>8000</v>
      </c>
      <c r="AG23" s="23">
        <v>100911</v>
      </c>
      <c r="AH23" s="19"/>
      <c r="AI23" s="23"/>
      <c r="AJ23" s="19"/>
      <c r="AK23" s="23">
        <v>354499</v>
      </c>
      <c r="AL23" s="19"/>
      <c r="AM23" s="23"/>
      <c r="AN23" s="281">
        <v>-246829</v>
      </c>
      <c r="AO23" s="285">
        <v>80175</v>
      </c>
      <c r="AP23" s="27"/>
      <c r="AQ23" s="28">
        <v>27081</v>
      </c>
      <c r="AR23" s="29">
        <v>178400</v>
      </c>
      <c r="AS23" s="30">
        <v>334400</v>
      </c>
      <c r="AT23" s="19"/>
      <c r="AU23" s="23"/>
      <c r="AV23" s="13">
        <f t="shared" si="0"/>
        <v>53663</v>
      </c>
      <c r="AW23" s="351">
        <f t="shared" si="1"/>
        <v>8646278.7</v>
      </c>
      <c r="AX23" s="29"/>
      <c r="AY23" s="30">
        <v>58752</v>
      </c>
      <c r="AZ23" s="13">
        <f t="shared" si="2"/>
        <v>53663</v>
      </c>
      <c r="BA23" s="351">
        <f t="shared" si="3"/>
        <v>8705030.7</v>
      </c>
    </row>
    <row r="24" spans="1:53" ht="14.25">
      <c r="A24" s="1432" t="s">
        <v>139</v>
      </c>
      <c r="B24" s="1256"/>
      <c r="C24" s="62"/>
      <c r="D24" s="22"/>
      <c r="E24" s="23">
        <v>-200</v>
      </c>
      <c r="F24" s="19"/>
      <c r="G24" s="23"/>
      <c r="H24" s="19"/>
      <c r="I24" s="23"/>
      <c r="J24" s="19"/>
      <c r="K24" s="23"/>
      <c r="L24" s="19"/>
      <c r="M24" s="23">
        <v>-82</v>
      </c>
      <c r="N24" s="19"/>
      <c r="O24" s="23"/>
      <c r="P24" s="19"/>
      <c r="Q24" s="23"/>
      <c r="R24" s="19"/>
      <c r="S24" s="23"/>
      <c r="T24" s="19">
        <v>105000</v>
      </c>
      <c r="U24" s="23">
        <v>57500</v>
      </c>
      <c r="V24" s="19"/>
      <c r="W24" s="23"/>
      <c r="X24" s="22">
        <v>79079</v>
      </c>
      <c r="Y24" s="23"/>
      <c r="Z24" s="24"/>
      <c r="AA24" s="25"/>
      <c r="AB24" s="19">
        <v>8806.53</v>
      </c>
      <c r="AC24" s="23">
        <v>6166.16</v>
      </c>
      <c r="AD24" s="19"/>
      <c r="AE24" s="23"/>
      <c r="AF24" s="19"/>
      <c r="AG24" s="23"/>
      <c r="AH24" s="19"/>
      <c r="AI24" s="23"/>
      <c r="AJ24" s="19"/>
      <c r="AK24" s="23"/>
      <c r="AL24" s="19"/>
      <c r="AM24" s="23"/>
      <c r="AN24" s="282"/>
      <c r="AO24" s="286"/>
      <c r="AP24" s="27"/>
      <c r="AQ24" s="28">
        <v>6244</v>
      </c>
      <c r="AR24" s="29">
        <v>-2259</v>
      </c>
      <c r="AS24" s="30">
        <v>1004</v>
      </c>
      <c r="AT24" s="19">
        <v>8733</v>
      </c>
      <c r="AU24" s="23">
        <v>15734</v>
      </c>
      <c r="AV24" s="13">
        <f t="shared" si="0"/>
        <v>199359.53</v>
      </c>
      <c r="AW24" s="351">
        <f t="shared" si="1"/>
        <v>86366.16</v>
      </c>
      <c r="AX24" s="29"/>
      <c r="AY24" s="30"/>
      <c r="AZ24" s="13">
        <f t="shared" si="2"/>
        <v>199359.53</v>
      </c>
      <c r="BA24" s="351">
        <f t="shared" si="3"/>
        <v>86366.16</v>
      </c>
    </row>
    <row r="25" spans="1:53" ht="14.25">
      <c r="A25" s="1432" t="s">
        <v>258</v>
      </c>
      <c r="B25" s="1256"/>
      <c r="C25" s="62"/>
      <c r="D25" s="22"/>
      <c r="E25" s="23"/>
      <c r="F25" s="19"/>
      <c r="G25" s="23"/>
      <c r="H25" s="19"/>
      <c r="I25" s="23"/>
      <c r="J25" s="19"/>
      <c r="K25" s="23"/>
      <c r="L25" s="19"/>
      <c r="M25" s="23"/>
      <c r="N25" s="19"/>
      <c r="O25" s="23"/>
      <c r="P25" s="19"/>
      <c r="Q25" s="23"/>
      <c r="R25" s="19"/>
      <c r="S25" s="23"/>
      <c r="T25" s="19"/>
      <c r="U25" s="23"/>
      <c r="V25" s="19"/>
      <c r="W25" s="23"/>
      <c r="X25" s="22">
        <v>328800</v>
      </c>
      <c r="Y25" s="23"/>
      <c r="Z25" s="24"/>
      <c r="AA25" s="25"/>
      <c r="AB25" s="19"/>
      <c r="AC25" s="23"/>
      <c r="AD25" s="19"/>
      <c r="AE25" s="23"/>
      <c r="AF25" s="19"/>
      <c r="AG25" s="23"/>
      <c r="AH25" s="19"/>
      <c r="AI25" s="23">
        <v>47294</v>
      </c>
      <c r="AJ25" s="19"/>
      <c r="AK25" s="23"/>
      <c r="AL25" s="19"/>
      <c r="AM25" s="23"/>
      <c r="AN25" s="282"/>
      <c r="AO25" s="286"/>
      <c r="AP25" s="452"/>
      <c r="AQ25" s="28"/>
      <c r="AR25" s="29">
        <v>1270</v>
      </c>
      <c r="AS25" s="30"/>
      <c r="AT25" s="19"/>
      <c r="AU25" s="23"/>
      <c r="AV25" s="13"/>
      <c r="AW25" s="449"/>
      <c r="AX25" s="29"/>
      <c r="AY25" s="30"/>
      <c r="AZ25" s="13"/>
      <c r="BA25" s="449"/>
    </row>
    <row r="26" spans="1:53" s="509" customFormat="1" ht="14.25">
      <c r="A26" s="1433" t="s">
        <v>361</v>
      </c>
      <c r="B26" s="504">
        <f aca="true" t="shared" si="6" ref="B26:AG26">SUM(B13:B24)</f>
        <v>1975440</v>
      </c>
      <c r="C26" s="506">
        <f t="shared" si="6"/>
        <v>2772782</v>
      </c>
      <c r="D26" s="507">
        <f t="shared" si="6"/>
        <v>979411</v>
      </c>
      <c r="E26" s="506">
        <f t="shared" si="6"/>
        <v>894716</v>
      </c>
      <c r="F26" s="505">
        <f t="shared" si="6"/>
        <v>1081324</v>
      </c>
      <c r="G26" s="506">
        <f t="shared" si="6"/>
        <v>1397680</v>
      </c>
      <c r="H26" s="505">
        <f t="shared" si="6"/>
        <v>6236552</v>
      </c>
      <c r="I26" s="506">
        <f t="shared" si="6"/>
        <v>5998348</v>
      </c>
      <c r="J26" s="505">
        <f t="shared" si="6"/>
        <v>2120149</v>
      </c>
      <c r="K26" s="506">
        <f t="shared" si="6"/>
        <v>3337725</v>
      </c>
      <c r="L26" s="505">
        <f t="shared" si="6"/>
        <v>1877801</v>
      </c>
      <c r="M26" s="506">
        <f t="shared" si="6"/>
        <v>1503315</v>
      </c>
      <c r="N26" s="505">
        <f t="shared" si="6"/>
        <v>1103498</v>
      </c>
      <c r="O26" s="506">
        <f t="shared" si="6"/>
        <v>3966993</v>
      </c>
      <c r="P26" s="505">
        <f t="shared" si="6"/>
        <v>2665080</v>
      </c>
      <c r="Q26" s="506">
        <f t="shared" si="6"/>
        <v>3716008</v>
      </c>
      <c r="R26" s="505">
        <f t="shared" si="6"/>
        <v>998870</v>
      </c>
      <c r="S26" s="506">
        <f t="shared" si="6"/>
        <v>2276016</v>
      </c>
      <c r="T26" s="505">
        <f t="shared" si="6"/>
        <v>2165298</v>
      </c>
      <c r="U26" s="506">
        <f t="shared" si="6"/>
        <v>2869244</v>
      </c>
      <c r="V26" s="505">
        <f t="shared" si="6"/>
        <v>2849722</v>
      </c>
      <c r="W26" s="506">
        <f t="shared" si="6"/>
        <v>3360400</v>
      </c>
      <c r="X26" s="507">
        <f>SUM(X13:X24)</f>
        <v>16466354</v>
      </c>
      <c r="Y26" s="506">
        <f t="shared" si="6"/>
        <v>15855277</v>
      </c>
      <c r="Z26" s="505">
        <f t="shared" si="6"/>
        <v>126242</v>
      </c>
      <c r="AA26" s="506">
        <f t="shared" si="6"/>
        <v>90544</v>
      </c>
      <c r="AB26" s="505">
        <f t="shared" si="6"/>
        <v>1813941.84</v>
      </c>
      <c r="AC26" s="506">
        <f t="shared" si="6"/>
        <v>2366835.29</v>
      </c>
      <c r="AD26" s="505">
        <f t="shared" si="6"/>
        <v>258057</v>
      </c>
      <c r="AE26" s="506">
        <f t="shared" si="6"/>
        <v>314700</v>
      </c>
      <c r="AF26" s="505">
        <f t="shared" si="6"/>
        <v>1248702</v>
      </c>
      <c r="AG26" s="506">
        <f t="shared" si="6"/>
        <v>802304</v>
      </c>
      <c r="AH26" s="505">
        <f aca="true" t="shared" si="7" ref="AH26:AU26">SUM(AH13:AH24)</f>
        <v>0</v>
      </c>
      <c r="AI26" s="506">
        <f t="shared" si="7"/>
        <v>681278</v>
      </c>
      <c r="AJ26" s="505">
        <f t="shared" si="7"/>
        <v>2847969</v>
      </c>
      <c r="AK26" s="506">
        <f t="shared" si="7"/>
        <v>2958706</v>
      </c>
      <c r="AL26" s="505">
        <f t="shared" si="7"/>
        <v>0</v>
      </c>
      <c r="AM26" s="506">
        <f t="shared" si="7"/>
        <v>0</v>
      </c>
      <c r="AN26" s="505">
        <f t="shared" si="7"/>
        <v>8310957</v>
      </c>
      <c r="AO26" s="506">
        <f t="shared" si="7"/>
        <v>5325947</v>
      </c>
      <c r="AP26" s="506">
        <f t="shared" si="7"/>
        <v>60609</v>
      </c>
      <c r="AQ26" s="506">
        <f t="shared" si="7"/>
        <v>853898</v>
      </c>
      <c r="AR26" s="505">
        <f>SUM(AR13:AR25)</f>
        <v>1481673</v>
      </c>
      <c r="AS26" s="506">
        <f t="shared" si="7"/>
        <v>793599</v>
      </c>
      <c r="AT26" s="505">
        <f t="shared" si="7"/>
        <v>1897251</v>
      </c>
      <c r="AU26" s="506">
        <f t="shared" si="7"/>
        <v>1797742</v>
      </c>
      <c r="AV26" s="504">
        <f aca="true" t="shared" si="8" ref="AV26:AV37">SUM(B26+D26+F26+H26+J26+L26+N26+P26+R26+T26+V26+X26+Z26+AB26+AD26+AF26+AH26+AJ26+AL26+AN26+AP26+AR26+AT26)</f>
        <v>58564900.84</v>
      </c>
      <c r="AW26" s="508">
        <f aca="true" t="shared" si="9" ref="AW26:AW37">SUM(C26+E26+G26+I26+K26+M26+O26+Q26+S26+U26+W26+Y26+AA26+AC26+AE26+AG26+AI26+AK26+AM26+AO26+AQ26+AS26+AU26)</f>
        <v>63934057.29</v>
      </c>
      <c r="AX26" s="505">
        <f>SUM(AX13:AX24)</f>
        <v>52237</v>
      </c>
      <c r="AY26" s="506">
        <f>SUM(AY13:AY24)</f>
        <v>124400</v>
      </c>
      <c r="AZ26" s="504">
        <f aca="true" t="shared" si="10" ref="AZ26:AZ37">AV26+AX26</f>
        <v>58617137.84</v>
      </c>
      <c r="BA26" s="508">
        <f aca="true" t="shared" si="11" ref="BA26:BA37">AW26+AY26</f>
        <v>64058457.29</v>
      </c>
    </row>
    <row r="27" spans="1:53" ht="14.25">
      <c r="A27" s="1432" t="s">
        <v>140</v>
      </c>
      <c r="B27" s="1256">
        <v>1179480</v>
      </c>
      <c r="C27" s="62">
        <v>1044296</v>
      </c>
      <c r="D27" s="22">
        <v>-885911</v>
      </c>
      <c r="E27" s="23">
        <v>-784467</v>
      </c>
      <c r="F27" s="19">
        <v>-427424</v>
      </c>
      <c r="G27" s="23">
        <v>-493105</v>
      </c>
      <c r="H27" s="19">
        <v>6937500</v>
      </c>
      <c r="I27" s="23">
        <v>5244467</v>
      </c>
      <c r="J27" s="19">
        <v>-1540451</v>
      </c>
      <c r="K27" s="23">
        <v>-2148044</v>
      </c>
      <c r="L27" s="19">
        <v>1021190</v>
      </c>
      <c r="M27" s="23">
        <v>1050875</v>
      </c>
      <c r="N27" s="19">
        <v>1024058</v>
      </c>
      <c r="O27" s="23">
        <v>-1397830</v>
      </c>
      <c r="P27" s="19">
        <v>-2356918</v>
      </c>
      <c r="Q27" s="23">
        <v>-2851548</v>
      </c>
      <c r="R27" s="19">
        <v>611860</v>
      </c>
      <c r="S27" s="23">
        <v>288991</v>
      </c>
      <c r="T27" s="19">
        <v>-1583258</v>
      </c>
      <c r="U27" s="23">
        <v>-1555124</v>
      </c>
      <c r="V27" s="19">
        <v>13534938</v>
      </c>
      <c r="W27" s="23">
        <v>13117442</v>
      </c>
      <c r="X27" s="22">
        <v>10774059</v>
      </c>
      <c r="Y27" s="23">
        <v>10669814</v>
      </c>
      <c r="Z27" s="24">
        <v>1349872</v>
      </c>
      <c r="AA27" s="25">
        <v>1617102</v>
      </c>
      <c r="AB27" s="19">
        <v>301904.08</v>
      </c>
      <c r="AC27" s="23">
        <v>-974181.24</v>
      </c>
      <c r="AD27" s="19">
        <v>7248945</v>
      </c>
      <c r="AE27" s="23">
        <v>6369928</v>
      </c>
      <c r="AF27" s="19">
        <v>5099182</v>
      </c>
      <c r="AG27" s="23">
        <v>5978400</v>
      </c>
      <c r="AH27" s="19"/>
      <c r="AI27" s="23">
        <v>943291</v>
      </c>
      <c r="AJ27" s="19">
        <v>502808</v>
      </c>
      <c r="AK27" s="23">
        <v>350609</v>
      </c>
      <c r="AL27" s="19"/>
      <c r="AM27" s="23"/>
      <c r="AN27" s="281">
        <v>15424577</v>
      </c>
      <c r="AO27" s="285">
        <v>14135495</v>
      </c>
      <c r="AP27" s="27">
        <v>1110565</v>
      </c>
      <c r="AQ27" s="28">
        <v>262546</v>
      </c>
      <c r="AR27" s="29">
        <v>654466</v>
      </c>
      <c r="AS27" s="30">
        <v>592492</v>
      </c>
      <c r="AT27" s="19">
        <v>676134</v>
      </c>
      <c r="AU27" s="23">
        <v>683520</v>
      </c>
      <c r="AV27" s="13">
        <f t="shared" si="8"/>
        <v>60657576.08</v>
      </c>
      <c r="AW27" s="351">
        <f t="shared" si="9"/>
        <v>52144968.760000005</v>
      </c>
      <c r="AX27" s="29">
        <v>29067744</v>
      </c>
      <c r="AY27" s="30">
        <v>27207463</v>
      </c>
      <c r="AZ27" s="13">
        <f t="shared" si="10"/>
        <v>89725320.08</v>
      </c>
      <c r="BA27" s="351">
        <f t="shared" si="11"/>
        <v>79352431.76</v>
      </c>
    </row>
    <row r="28" spans="1:53" ht="14.25">
      <c r="A28" s="1432" t="s">
        <v>141</v>
      </c>
      <c r="B28" s="1256"/>
      <c r="C28" s="62"/>
      <c r="D28" s="22"/>
      <c r="E28" s="23"/>
      <c r="F28" s="19"/>
      <c r="G28" s="23"/>
      <c r="H28" s="19"/>
      <c r="I28" s="23"/>
      <c r="J28" s="19"/>
      <c r="K28" s="23"/>
      <c r="L28" s="19">
        <v>75000</v>
      </c>
      <c r="M28" s="23"/>
      <c r="N28" s="19"/>
      <c r="O28" s="23"/>
      <c r="P28" s="19"/>
      <c r="Q28" s="23"/>
      <c r="R28" s="19"/>
      <c r="S28" s="23"/>
      <c r="T28" s="19"/>
      <c r="U28" s="23"/>
      <c r="V28" s="19">
        <v>-66107</v>
      </c>
      <c r="W28" s="23">
        <v>164780</v>
      </c>
      <c r="X28" s="22"/>
      <c r="Y28" s="23"/>
      <c r="Z28" s="24">
        <v>155428</v>
      </c>
      <c r="AA28" s="25">
        <v>138779</v>
      </c>
      <c r="AB28" s="19"/>
      <c r="AC28" s="23"/>
      <c r="AD28" s="19"/>
      <c r="AE28" s="23"/>
      <c r="AF28" s="19">
        <v>-130721</v>
      </c>
      <c r="AG28" s="23">
        <v>584681</v>
      </c>
      <c r="AH28" s="19"/>
      <c r="AI28" s="23">
        <v>15578</v>
      </c>
      <c r="AJ28" s="19"/>
      <c r="AK28" s="23"/>
      <c r="AL28" s="19"/>
      <c r="AM28" s="23"/>
      <c r="AN28" s="280"/>
      <c r="AO28" s="284"/>
      <c r="AP28" s="27"/>
      <c r="AQ28" s="28"/>
      <c r="AR28" s="29"/>
      <c r="AS28" s="30"/>
      <c r="AT28" s="19">
        <v>-205077</v>
      </c>
      <c r="AU28" s="23">
        <v>-242821</v>
      </c>
      <c r="AV28" s="13">
        <f t="shared" si="8"/>
        <v>-171477</v>
      </c>
      <c r="AW28" s="351">
        <f t="shared" si="9"/>
        <v>660997</v>
      </c>
      <c r="AX28" s="29">
        <v>62076</v>
      </c>
      <c r="AY28" s="30">
        <v>80383</v>
      </c>
      <c r="AZ28" s="13">
        <f t="shared" si="10"/>
        <v>-109401</v>
      </c>
      <c r="BA28" s="351">
        <f t="shared" si="11"/>
        <v>741380</v>
      </c>
    </row>
    <row r="29" spans="1:53" ht="14.25">
      <c r="A29" s="1432" t="s">
        <v>142</v>
      </c>
      <c r="B29" s="1256"/>
      <c r="C29" s="62"/>
      <c r="D29" s="22"/>
      <c r="E29" s="23"/>
      <c r="F29" s="19"/>
      <c r="G29" s="23"/>
      <c r="H29" s="19">
        <v>1134972</v>
      </c>
      <c r="I29" s="23">
        <v>748616</v>
      </c>
      <c r="J29" s="19"/>
      <c r="K29" s="23"/>
      <c r="L29" s="19"/>
      <c r="M29" s="23"/>
      <c r="N29" s="19">
        <v>-96111</v>
      </c>
      <c r="O29" s="23">
        <v>53503</v>
      </c>
      <c r="P29" s="19"/>
      <c r="Q29" s="23"/>
      <c r="R29" s="19">
        <v>-65655</v>
      </c>
      <c r="S29" s="23">
        <v>-6446</v>
      </c>
      <c r="T29" s="19"/>
      <c r="U29" s="23"/>
      <c r="V29" s="19"/>
      <c r="W29" s="23"/>
      <c r="X29" s="22">
        <v>13</v>
      </c>
      <c r="Y29" s="23">
        <v>-20</v>
      </c>
      <c r="Z29" s="24"/>
      <c r="AA29" s="25"/>
      <c r="AB29" s="19"/>
      <c r="AC29" s="23"/>
      <c r="AD29" s="19"/>
      <c r="AE29" s="23"/>
      <c r="AF29" s="19"/>
      <c r="AG29" s="23"/>
      <c r="AH29" s="19"/>
      <c r="AI29" s="23"/>
      <c r="AJ29" s="19"/>
      <c r="AK29" s="23"/>
      <c r="AL29" s="19"/>
      <c r="AM29" s="23"/>
      <c r="AN29" s="280"/>
      <c r="AO29" s="284"/>
      <c r="AP29" s="27"/>
      <c r="AQ29" s="28"/>
      <c r="AR29" s="29"/>
      <c r="AS29" s="30"/>
      <c r="AT29" s="19"/>
      <c r="AU29" s="23"/>
      <c r="AV29" s="13">
        <f t="shared" si="8"/>
        <v>973219</v>
      </c>
      <c r="AW29" s="351">
        <f t="shared" si="9"/>
        <v>795653</v>
      </c>
      <c r="AX29" s="29"/>
      <c r="AY29" s="30"/>
      <c r="AZ29" s="13">
        <f t="shared" si="10"/>
        <v>973219</v>
      </c>
      <c r="BA29" s="351">
        <f t="shared" si="11"/>
        <v>795653</v>
      </c>
    </row>
    <row r="30" spans="1:53" ht="14.25">
      <c r="A30" s="1432" t="s">
        <v>519</v>
      </c>
      <c r="B30" s="1256"/>
      <c r="C30" s="62"/>
      <c r="D30" s="22"/>
      <c r="E30" s="23"/>
      <c r="F30" s="19"/>
      <c r="G30" s="23"/>
      <c r="H30" s="19"/>
      <c r="I30" s="23"/>
      <c r="J30" s="19"/>
      <c r="K30" s="23"/>
      <c r="L30" s="19"/>
      <c r="M30" s="23"/>
      <c r="N30" s="19"/>
      <c r="O30" s="23"/>
      <c r="P30" s="19"/>
      <c r="Q30" s="23"/>
      <c r="R30" s="19"/>
      <c r="S30" s="23"/>
      <c r="T30" s="19"/>
      <c r="U30" s="23"/>
      <c r="V30" s="19"/>
      <c r="W30" s="23"/>
      <c r="X30" s="22">
        <v>-1212518</v>
      </c>
      <c r="Y30" s="23"/>
      <c r="Z30" s="24"/>
      <c r="AA30" s="25"/>
      <c r="AB30" s="19"/>
      <c r="AC30" s="23"/>
      <c r="AD30" s="19">
        <v>329633</v>
      </c>
      <c r="AE30" s="23">
        <v>288149</v>
      </c>
      <c r="AF30" s="19"/>
      <c r="AG30" s="23"/>
      <c r="AH30" s="19"/>
      <c r="AI30" s="23"/>
      <c r="AJ30" s="19"/>
      <c r="AK30" s="23"/>
      <c r="AL30" s="19"/>
      <c r="AM30" s="23"/>
      <c r="AN30" s="281">
        <v>866083</v>
      </c>
      <c r="AO30" s="285">
        <v>-86336</v>
      </c>
      <c r="AP30" s="27">
        <v>48648</v>
      </c>
      <c r="AQ30" s="28">
        <v>-90470</v>
      </c>
      <c r="AR30" s="29"/>
      <c r="AS30" s="30"/>
      <c r="AT30" s="19"/>
      <c r="AU30" s="23"/>
      <c r="AV30" s="13">
        <f t="shared" si="8"/>
        <v>31846</v>
      </c>
      <c r="AW30" s="351">
        <f t="shared" si="9"/>
        <v>111343</v>
      </c>
      <c r="AX30" s="29"/>
      <c r="AY30" s="30"/>
      <c r="AZ30" s="13">
        <f t="shared" si="10"/>
        <v>31846</v>
      </c>
      <c r="BA30" s="351">
        <f t="shared" si="11"/>
        <v>111343</v>
      </c>
    </row>
    <row r="31" spans="1:53" s="752" customFormat="1" ht="14.25">
      <c r="A31" s="1434" t="s">
        <v>518</v>
      </c>
      <c r="B31" s="13">
        <v>1064604</v>
      </c>
      <c r="C31" s="15">
        <f>C27</f>
        <v>1044296</v>
      </c>
      <c r="D31" s="37">
        <v>-885911</v>
      </c>
      <c r="E31" s="38">
        <v>-784467</v>
      </c>
      <c r="F31" s="35">
        <v>-427424</v>
      </c>
      <c r="G31" s="38">
        <v>-493105</v>
      </c>
      <c r="H31" s="35">
        <v>5802528</v>
      </c>
      <c r="I31" s="38">
        <v>4495851</v>
      </c>
      <c r="J31" s="37">
        <f>J27</f>
        <v>-1540451</v>
      </c>
      <c r="K31" s="380">
        <v>-2148044</v>
      </c>
      <c r="L31" s="35">
        <v>946190</v>
      </c>
      <c r="M31" s="35">
        <v>1050875</v>
      </c>
      <c r="N31" s="35">
        <v>927947</v>
      </c>
      <c r="O31" s="38">
        <v>-1344327</v>
      </c>
      <c r="P31" s="35">
        <v>-2356918</v>
      </c>
      <c r="Q31" s="38">
        <f>Q27</f>
        <v>-2851548</v>
      </c>
      <c r="R31" s="35">
        <v>546205</v>
      </c>
      <c r="S31" s="38">
        <v>282546</v>
      </c>
      <c r="T31" s="35">
        <f>T27</f>
        <v>-1583258</v>
      </c>
      <c r="U31" s="38">
        <v>-1555124</v>
      </c>
      <c r="V31" s="35">
        <v>13601045</v>
      </c>
      <c r="W31" s="38">
        <v>12952662</v>
      </c>
      <c r="X31" s="37">
        <v>9561554</v>
      </c>
      <c r="Y31" s="38">
        <v>10669794</v>
      </c>
      <c r="Z31" s="753">
        <v>1194444</v>
      </c>
      <c r="AA31" s="1096">
        <v>1478323</v>
      </c>
      <c r="AB31" s="35">
        <v>301904.08</v>
      </c>
      <c r="AC31" s="38">
        <v>-974181.24</v>
      </c>
      <c r="AD31" s="35">
        <v>6919312</v>
      </c>
      <c r="AE31" s="38">
        <v>6081779</v>
      </c>
      <c r="AF31" s="19">
        <v>5229903</v>
      </c>
      <c r="AG31" s="23">
        <v>5393719</v>
      </c>
      <c r="AH31" s="35"/>
      <c r="AI31" s="38">
        <v>927713</v>
      </c>
      <c r="AJ31" s="35">
        <v>502808</v>
      </c>
      <c r="AK31" s="38">
        <v>350609</v>
      </c>
      <c r="AL31" s="35"/>
      <c r="AM31" s="38"/>
      <c r="AN31" s="283">
        <v>14558494</v>
      </c>
      <c r="AO31" s="287">
        <v>14221831</v>
      </c>
      <c r="AP31" s="755">
        <v>1061917</v>
      </c>
      <c r="AQ31" s="756">
        <v>353016</v>
      </c>
      <c r="AR31" s="1097">
        <f>AR27</f>
        <v>654466</v>
      </c>
      <c r="AS31" s="1098">
        <v>592492</v>
      </c>
      <c r="AT31" s="35">
        <v>471057</v>
      </c>
      <c r="AU31" s="38">
        <v>440699</v>
      </c>
      <c r="AV31" s="13">
        <f t="shared" si="8"/>
        <v>56550416.08</v>
      </c>
      <c r="AW31" s="1095">
        <f t="shared" si="9"/>
        <v>50185408.760000005</v>
      </c>
      <c r="AX31" s="31">
        <v>29005668</v>
      </c>
      <c r="AY31" s="32">
        <v>27127080</v>
      </c>
      <c r="AZ31" s="13">
        <f t="shared" si="10"/>
        <v>85556084.08</v>
      </c>
      <c r="BA31" s="1095">
        <f t="shared" si="11"/>
        <v>77312488.76</v>
      </c>
    </row>
    <row r="32" spans="1:53" ht="14.25">
      <c r="A32" s="1435" t="s">
        <v>143</v>
      </c>
      <c r="B32" s="13"/>
      <c r="C32" s="15"/>
      <c r="D32" s="37"/>
      <c r="E32" s="38"/>
      <c r="F32" s="35"/>
      <c r="G32" s="38"/>
      <c r="H32" s="35"/>
      <c r="I32" s="38"/>
      <c r="J32" s="35"/>
      <c r="K32" s="38"/>
      <c r="L32" s="35"/>
      <c r="M32" s="38"/>
      <c r="N32" s="35"/>
      <c r="O32" s="38"/>
      <c r="P32" s="293"/>
      <c r="Q32" s="38"/>
      <c r="R32" s="35"/>
      <c r="S32" s="38"/>
      <c r="T32" s="35"/>
      <c r="U32" s="38"/>
      <c r="V32" s="35"/>
      <c r="W32" s="38"/>
      <c r="X32" s="37"/>
      <c r="Y32" s="38"/>
      <c r="Z32" s="24"/>
      <c r="AA32" s="25"/>
      <c r="AB32" s="35"/>
      <c r="AC32" s="38"/>
      <c r="AD32" s="39"/>
      <c r="AE32" s="40"/>
      <c r="AF32" s="35"/>
      <c r="AG32" s="38"/>
      <c r="AH32" s="35"/>
      <c r="AI32" s="38"/>
      <c r="AJ32" s="35"/>
      <c r="AK32" s="38"/>
      <c r="AL32" s="19"/>
      <c r="AM32" s="23"/>
      <c r="AN32" s="280"/>
      <c r="AO32" s="284"/>
      <c r="AP32" s="27"/>
      <c r="AQ32" s="28"/>
      <c r="AR32" s="29"/>
      <c r="AS32" s="30"/>
      <c r="AT32" s="35"/>
      <c r="AU32" s="38"/>
      <c r="AV32" s="13">
        <f t="shared" si="8"/>
        <v>0</v>
      </c>
      <c r="AW32" s="351">
        <f t="shared" si="9"/>
        <v>0</v>
      </c>
      <c r="AX32" s="35"/>
      <c r="AY32" s="38"/>
      <c r="AZ32" s="13">
        <f t="shared" si="10"/>
        <v>0</v>
      </c>
      <c r="BA32" s="351">
        <f t="shared" si="11"/>
        <v>0</v>
      </c>
    </row>
    <row r="33" spans="1:53" ht="28.5">
      <c r="A33" s="1432" t="s">
        <v>144</v>
      </c>
      <c r="B33" s="1256">
        <v>-85338</v>
      </c>
      <c r="C33" s="62">
        <v>-1129634</v>
      </c>
      <c r="D33" s="22">
        <v>-6155209</v>
      </c>
      <c r="E33" s="23">
        <v>-5370742</v>
      </c>
      <c r="F33" s="19">
        <v>-13894097</v>
      </c>
      <c r="G33" s="23">
        <v>-12973568</v>
      </c>
      <c r="H33" s="19">
        <v>86617668</v>
      </c>
      <c r="I33" s="23">
        <v>83393631</v>
      </c>
      <c r="J33" s="19">
        <v>-27075518</v>
      </c>
      <c r="K33" s="23">
        <v>-24928221</v>
      </c>
      <c r="L33" s="19">
        <v>1105083</v>
      </c>
      <c r="M33" s="23">
        <v>54208</v>
      </c>
      <c r="N33" s="19">
        <v>-2973027</v>
      </c>
      <c r="O33" s="23">
        <v>-1628700</v>
      </c>
      <c r="P33" s="35">
        <v>-13932978</v>
      </c>
      <c r="Q33" s="23">
        <v>-11081431</v>
      </c>
      <c r="R33" s="19">
        <v>-6975923</v>
      </c>
      <c r="S33" s="23">
        <v>-7258469</v>
      </c>
      <c r="T33" s="19">
        <v>-18188487</v>
      </c>
      <c r="U33" s="23">
        <v>-16633363</v>
      </c>
      <c r="V33" s="19">
        <v>45692925</v>
      </c>
      <c r="W33" s="23">
        <v>32740263</v>
      </c>
      <c r="X33" s="22">
        <v>26444686</v>
      </c>
      <c r="Y33" s="23">
        <v>19842696</v>
      </c>
      <c r="Z33" s="29">
        <v>1191627</v>
      </c>
      <c r="AA33" s="30">
        <v>1126212</v>
      </c>
      <c r="AB33" s="19">
        <v>-1992844.06</v>
      </c>
      <c r="AC33" s="23">
        <v>-1018662.82</v>
      </c>
      <c r="AD33" s="19">
        <v>27912133</v>
      </c>
      <c r="AE33" s="23">
        <v>21830354</v>
      </c>
      <c r="AF33" s="19">
        <v>5182919</v>
      </c>
      <c r="AG33" s="23">
        <v>7538522</v>
      </c>
      <c r="AH33" s="19"/>
      <c r="AI33" s="23">
        <v>-7945350</v>
      </c>
      <c r="AJ33" s="19">
        <v>-1973481</v>
      </c>
      <c r="AK33" s="23">
        <v>-2324090</v>
      </c>
      <c r="AL33" s="19"/>
      <c r="AM33" s="23"/>
      <c r="AN33" s="281">
        <v>78823269</v>
      </c>
      <c r="AO33" s="285">
        <v>64601438</v>
      </c>
      <c r="AP33" s="27">
        <v>4704449</v>
      </c>
      <c r="AQ33" s="28">
        <v>4463880</v>
      </c>
      <c r="AR33" s="29">
        <v>1279691</v>
      </c>
      <c r="AS33" s="30">
        <v>726224</v>
      </c>
      <c r="AT33" s="19">
        <v>1341685</v>
      </c>
      <c r="AU33" s="23">
        <v>900986</v>
      </c>
      <c r="AV33" s="13">
        <f t="shared" si="8"/>
        <v>187049232.94</v>
      </c>
      <c r="AW33" s="351">
        <f t="shared" si="9"/>
        <v>144926183.18</v>
      </c>
      <c r="AX33" s="19"/>
      <c r="AY33" s="23"/>
      <c r="AZ33" s="13">
        <f t="shared" si="10"/>
        <v>187049232.94</v>
      </c>
      <c r="BA33" s="351">
        <f t="shared" si="11"/>
        <v>144926183.18</v>
      </c>
    </row>
    <row r="34" spans="1:53" ht="28.5">
      <c r="A34" s="1432" t="s">
        <v>145</v>
      </c>
      <c r="B34" s="1256"/>
      <c r="C34" s="62"/>
      <c r="D34" s="22"/>
      <c r="E34" s="23"/>
      <c r="F34" s="19"/>
      <c r="G34" s="23"/>
      <c r="H34" s="19">
        <v>1657799</v>
      </c>
      <c r="I34" s="23"/>
      <c r="J34" s="19"/>
      <c r="K34" s="23"/>
      <c r="L34" s="19"/>
      <c r="M34" s="23"/>
      <c r="N34" s="19"/>
      <c r="O34" s="23"/>
      <c r="P34" s="19"/>
      <c r="Q34" s="23"/>
      <c r="R34" s="19"/>
      <c r="S34" s="23"/>
      <c r="T34" s="19"/>
      <c r="U34" s="23"/>
      <c r="V34" s="19"/>
      <c r="W34" s="23"/>
      <c r="X34" s="22"/>
      <c r="Y34" s="23">
        <v>1148672</v>
      </c>
      <c r="Z34" s="29"/>
      <c r="AA34" s="30">
        <v>-372000</v>
      </c>
      <c r="AB34" s="19"/>
      <c r="AC34" s="23"/>
      <c r="AD34" s="19"/>
      <c r="AE34" s="23"/>
      <c r="AF34" s="19">
        <v>1995565</v>
      </c>
      <c r="AG34" s="23">
        <v>3780061</v>
      </c>
      <c r="AH34" s="19"/>
      <c r="AI34" s="23"/>
      <c r="AJ34" s="19"/>
      <c r="AK34" s="23"/>
      <c r="AL34" s="19"/>
      <c r="AM34" s="23"/>
      <c r="AN34" s="282">
        <v>2500177</v>
      </c>
      <c r="AO34" s="286"/>
      <c r="AP34" s="27"/>
      <c r="AQ34" s="28">
        <v>93275</v>
      </c>
      <c r="AR34" s="29"/>
      <c r="AS34" s="30"/>
      <c r="AT34" s="19"/>
      <c r="AU34" s="23"/>
      <c r="AV34" s="13">
        <f t="shared" si="8"/>
        <v>6153541</v>
      </c>
      <c r="AW34" s="351">
        <f t="shared" si="9"/>
        <v>4650008</v>
      </c>
      <c r="AX34" s="19"/>
      <c r="AY34" s="23"/>
      <c r="AZ34" s="13">
        <f t="shared" si="10"/>
        <v>6153541</v>
      </c>
      <c r="BA34" s="351">
        <f t="shared" si="11"/>
        <v>4650008</v>
      </c>
    </row>
    <row r="35" spans="1:53" ht="28.5">
      <c r="A35" s="1436" t="s">
        <v>146</v>
      </c>
      <c r="B35" s="1256"/>
      <c r="C35" s="62"/>
      <c r="D35" s="22"/>
      <c r="E35" s="23"/>
      <c r="F35" s="19"/>
      <c r="G35" s="23"/>
      <c r="H35" s="19"/>
      <c r="I35" s="23">
        <v>1054963</v>
      </c>
      <c r="J35" s="19"/>
      <c r="K35" s="23"/>
      <c r="L35" s="19"/>
      <c r="M35" s="23"/>
      <c r="N35" s="19"/>
      <c r="O35" s="23"/>
      <c r="P35" s="19"/>
      <c r="Q35" s="23"/>
      <c r="R35" s="19"/>
      <c r="S35" s="23"/>
      <c r="T35" s="19"/>
      <c r="U35" s="23"/>
      <c r="V35" s="19"/>
      <c r="W35" s="23"/>
      <c r="X35" s="22"/>
      <c r="Y35" s="23">
        <v>2225551</v>
      </c>
      <c r="Z35" s="29"/>
      <c r="AA35" s="30">
        <v>-800000</v>
      </c>
      <c r="AB35" s="19"/>
      <c r="AC35" s="23"/>
      <c r="AD35" s="19"/>
      <c r="AE35" s="23"/>
      <c r="AF35" s="19"/>
      <c r="AG35" s="23">
        <v>2647962</v>
      </c>
      <c r="AH35" s="19"/>
      <c r="AI35" s="23"/>
      <c r="AJ35" s="19"/>
      <c r="AK35" s="23"/>
      <c r="AL35" s="19"/>
      <c r="AM35" s="23"/>
      <c r="AN35" s="282"/>
      <c r="AO35" s="286"/>
      <c r="AP35" s="27">
        <v>299556</v>
      </c>
      <c r="AQ35" s="28"/>
      <c r="AR35" s="29"/>
      <c r="AS35" s="30"/>
      <c r="AT35" s="19"/>
      <c r="AU35" s="23"/>
      <c r="AV35" s="13">
        <f t="shared" si="8"/>
        <v>299556</v>
      </c>
      <c r="AW35" s="351">
        <f t="shared" si="9"/>
        <v>5128476</v>
      </c>
      <c r="AX35" s="19"/>
      <c r="AY35" s="23"/>
      <c r="AZ35" s="13">
        <f t="shared" si="10"/>
        <v>299556</v>
      </c>
      <c r="BA35" s="351">
        <f t="shared" si="11"/>
        <v>5128476</v>
      </c>
    </row>
    <row r="36" spans="1:53" ht="14.25">
      <c r="A36" s="1432" t="s">
        <v>147</v>
      </c>
      <c r="B36" s="1256"/>
      <c r="C36" s="62"/>
      <c r="D36" s="22"/>
      <c r="E36" s="23"/>
      <c r="F36" s="19"/>
      <c r="G36" s="23"/>
      <c r="H36" s="19"/>
      <c r="I36" s="23">
        <v>216851</v>
      </c>
      <c r="J36" s="19"/>
      <c r="K36" s="23"/>
      <c r="L36" s="19"/>
      <c r="M36" s="23"/>
      <c r="N36" s="19"/>
      <c r="O36" s="23"/>
      <c r="P36" s="19"/>
      <c r="Q36" s="23"/>
      <c r="R36" s="19"/>
      <c r="S36" s="23"/>
      <c r="T36" s="19"/>
      <c r="U36" s="23"/>
      <c r="V36" s="19"/>
      <c r="W36" s="23"/>
      <c r="X36" s="22"/>
      <c r="Y36" s="23">
        <v>693581</v>
      </c>
      <c r="Z36" s="29"/>
      <c r="AA36" s="30">
        <v>-240908</v>
      </c>
      <c r="AB36" s="19"/>
      <c r="AC36" s="23"/>
      <c r="AD36" s="19"/>
      <c r="AE36" s="23"/>
      <c r="AF36" s="19"/>
      <c r="AG36" s="23">
        <v>1321299</v>
      </c>
      <c r="AH36" s="19"/>
      <c r="AI36" s="23"/>
      <c r="AJ36" s="19"/>
      <c r="AK36" s="23"/>
      <c r="AL36" s="19"/>
      <c r="AM36" s="23"/>
      <c r="AN36" s="282"/>
      <c r="AO36" s="286"/>
      <c r="AP36" s="27"/>
      <c r="AQ36" s="28">
        <v>19173</v>
      </c>
      <c r="AR36" s="29"/>
      <c r="AS36" s="30">
        <v>32371</v>
      </c>
      <c r="AT36" s="19"/>
      <c r="AU36" s="23"/>
      <c r="AV36" s="13">
        <f t="shared" si="8"/>
        <v>0</v>
      </c>
      <c r="AW36" s="351">
        <f t="shared" si="9"/>
        <v>2042367</v>
      </c>
      <c r="AX36" s="19"/>
      <c r="AY36" s="23"/>
      <c r="AZ36" s="13">
        <f t="shared" si="10"/>
        <v>0</v>
      </c>
      <c r="BA36" s="351">
        <f t="shared" si="11"/>
        <v>2042367</v>
      </c>
    </row>
    <row r="37" spans="1:53" ht="28.5">
      <c r="A37" s="1432" t="s">
        <v>148</v>
      </c>
      <c r="B37" s="13"/>
      <c r="C37" s="15"/>
      <c r="D37" s="1439"/>
      <c r="E37" s="40"/>
      <c r="F37" s="39"/>
      <c r="G37" s="40"/>
      <c r="H37" s="39"/>
      <c r="I37" s="40"/>
      <c r="J37" s="39">
        <v>972</v>
      </c>
      <c r="K37" s="40">
        <v>747</v>
      </c>
      <c r="L37" s="39"/>
      <c r="M37" s="40"/>
      <c r="N37" s="39"/>
      <c r="O37" s="40"/>
      <c r="P37" s="39"/>
      <c r="Q37" s="40"/>
      <c r="R37" s="39"/>
      <c r="S37" s="40"/>
      <c r="T37" s="39"/>
      <c r="U37" s="40"/>
      <c r="V37" s="39"/>
      <c r="W37" s="40"/>
      <c r="X37" s="37"/>
      <c r="Y37" s="40"/>
      <c r="Z37" s="220"/>
      <c r="AA37" s="230"/>
      <c r="AB37" s="39"/>
      <c r="AC37" s="40"/>
      <c r="AD37" s="39"/>
      <c r="AE37" s="40"/>
      <c r="AF37" s="39"/>
      <c r="AG37" s="40"/>
      <c r="AH37" s="39"/>
      <c r="AI37" s="40"/>
      <c r="AJ37" s="39"/>
      <c r="AK37" s="40"/>
      <c r="AL37" s="221"/>
      <c r="AM37" s="355"/>
      <c r="AN37" s="282"/>
      <c r="AO37" s="286"/>
      <c r="AP37" s="222"/>
      <c r="AQ37" s="288"/>
      <c r="AR37" s="223"/>
      <c r="AS37" s="291">
        <v>6654</v>
      </c>
      <c r="AT37" s="39"/>
      <c r="AU37" s="40"/>
      <c r="AV37" s="13">
        <f t="shared" si="8"/>
        <v>972</v>
      </c>
      <c r="AW37" s="351">
        <f t="shared" si="9"/>
        <v>7401</v>
      </c>
      <c r="AX37" s="39">
        <v>29005668</v>
      </c>
      <c r="AY37" s="40">
        <v>149651</v>
      </c>
      <c r="AZ37" s="13">
        <f t="shared" si="10"/>
        <v>29006640</v>
      </c>
      <c r="BA37" s="351">
        <f t="shared" si="11"/>
        <v>157052</v>
      </c>
    </row>
    <row r="38" spans="1:53" ht="28.5">
      <c r="A38" s="1437" t="s">
        <v>365</v>
      </c>
      <c r="B38" s="13"/>
      <c r="C38" s="15"/>
      <c r="D38" s="1440"/>
      <c r="E38" s="700"/>
      <c r="F38" s="699"/>
      <c r="G38" s="700"/>
      <c r="H38" s="699"/>
      <c r="I38" s="700"/>
      <c r="J38" s="699"/>
      <c r="K38" s="700"/>
      <c r="L38" s="699"/>
      <c r="M38" s="700"/>
      <c r="N38" s="699"/>
      <c r="O38" s="700"/>
      <c r="P38" s="699"/>
      <c r="Q38" s="700"/>
      <c r="R38" s="699"/>
      <c r="S38" s="700"/>
      <c r="T38" s="699"/>
      <c r="U38" s="700"/>
      <c r="V38" s="699"/>
      <c r="W38" s="700"/>
      <c r="X38" s="698"/>
      <c r="Y38" s="700"/>
      <c r="Z38" s="701"/>
      <c r="AA38" s="702"/>
      <c r="AB38" s="699"/>
      <c r="AC38" s="700"/>
      <c r="AD38" s="699"/>
      <c r="AE38" s="700"/>
      <c r="AF38" s="699"/>
      <c r="AG38" s="700"/>
      <c r="AH38" s="699"/>
      <c r="AI38" s="700"/>
      <c r="AJ38" s="699"/>
      <c r="AK38" s="700"/>
      <c r="AL38" s="703"/>
      <c r="AM38" s="704"/>
      <c r="AN38" s="705"/>
      <c r="AO38" s="706"/>
      <c r="AP38" s="707"/>
      <c r="AQ38" s="708"/>
      <c r="AR38" s="709"/>
      <c r="AS38" s="710"/>
      <c r="AT38" s="699"/>
      <c r="AU38" s="700"/>
      <c r="AV38" s="696"/>
      <c r="AW38" s="712"/>
      <c r="AX38" s="699"/>
      <c r="AY38" s="700"/>
      <c r="AZ38" s="711"/>
      <c r="BA38" s="697"/>
    </row>
    <row r="39" spans="1:53" ht="28.5">
      <c r="A39" s="1437" t="s">
        <v>531</v>
      </c>
      <c r="B39" s="13">
        <v>150000</v>
      </c>
      <c r="C39" s="15"/>
      <c r="D39" s="1440"/>
      <c r="E39" s="700"/>
      <c r="F39" s="699"/>
      <c r="G39" s="700"/>
      <c r="H39" s="699"/>
      <c r="I39" s="700"/>
      <c r="J39" s="699"/>
      <c r="K39" s="700"/>
      <c r="L39" s="699"/>
      <c r="M39" s="700"/>
      <c r="N39" s="699"/>
      <c r="O39" s="700"/>
      <c r="P39" s="699"/>
      <c r="Q39" s="700"/>
      <c r="R39" s="699"/>
      <c r="S39" s="700"/>
      <c r="T39" s="699"/>
      <c r="U39" s="700"/>
      <c r="V39" s="699"/>
      <c r="W39" s="700"/>
      <c r="X39" s="698"/>
      <c r="Y39" s="700"/>
      <c r="Z39" s="701"/>
      <c r="AA39" s="702"/>
      <c r="AB39" s="699"/>
      <c r="AC39" s="700"/>
      <c r="AD39" s="699"/>
      <c r="AE39" s="700"/>
      <c r="AF39" s="699"/>
      <c r="AG39" s="700"/>
      <c r="AH39" s="699"/>
      <c r="AI39" s="700"/>
      <c r="AJ39" s="699"/>
      <c r="AK39" s="700"/>
      <c r="AL39" s="703"/>
      <c r="AM39" s="704"/>
      <c r="AN39" s="705"/>
      <c r="AO39" s="706"/>
      <c r="AP39" s="707"/>
      <c r="AQ39" s="708"/>
      <c r="AR39" s="709"/>
      <c r="AS39" s="710"/>
      <c r="AT39" s="699"/>
      <c r="AU39" s="700"/>
      <c r="AV39" s="696"/>
      <c r="AW39" s="712"/>
      <c r="AX39" s="699"/>
      <c r="AY39" s="700"/>
      <c r="AZ39" s="711"/>
      <c r="BA39" s="697"/>
    </row>
    <row r="40" spans="1:53" s="503" customFormat="1" ht="27.75" thickBot="1">
      <c r="A40" s="1438" t="s">
        <v>149</v>
      </c>
      <c r="B40" s="1448">
        <f aca="true" t="shared" si="12" ref="B40:G40">B31+B33</f>
        <v>979266</v>
      </c>
      <c r="C40" s="499">
        <f t="shared" si="12"/>
        <v>-85338</v>
      </c>
      <c r="D40" s="500">
        <f t="shared" si="12"/>
        <v>-7041120</v>
      </c>
      <c r="E40" s="499">
        <f t="shared" si="12"/>
        <v>-6155209</v>
      </c>
      <c r="F40" s="498">
        <f t="shared" si="12"/>
        <v>-14321521</v>
      </c>
      <c r="G40" s="499">
        <f t="shared" si="12"/>
        <v>-13466673</v>
      </c>
      <c r="H40" s="498">
        <v>90762387</v>
      </c>
      <c r="I40" s="499">
        <v>86617668</v>
      </c>
      <c r="J40" s="498">
        <f aca="true" t="shared" si="13" ref="J40:U40">J31+J33</f>
        <v>-28615969</v>
      </c>
      <c r="K40" s="499">
        <f t="shared" si="13"/>
        <v>-27076265</v>
      </c>
      <c r="L40" s="498">
        <f t="shared" si="13"/>
        <v>2051273</v>
      </c>
      <c r="M40" s="499">
        <f t="shared" si="13"/>
        <v>1105083</v>
      </c>
      <c r="N40" s="498">
        <f t="shared" si="13"/>
        <v>-2045080</v>
      </c>
      <c r="O40" s="499">
        <v>-2973027</v>
      </c>
      <c r="P40" s="498">
        <f t="shared" si="13"/>
        <v>-16289896</v>
      </c>
      <c r="Q40" s="499">
        <f t="shared" si="13"/>
        <v>-13932979</v>
      </c>
      <c r="R40" s="498">
        <f t="shared" si="13"/>
        <v>-6429718</v>
      </c>
      <c r="S40" s="499">
        <f t="shared" si="13"/>
        <v>-6975923</v>
      </c>
      <c r="T40" s="498">
        <f t="shared" si="13"/>
        <v>-19771745</v>
      </c>
      <c r="U40" s="499">
        <f t="shared" si="13"/>
        <v>-18188487</v>
      </c>
      <c r="V40" s="498">
        <v>59293970</v>
      </c>
      <c r="W40" s="499">
        <v>45692925</v>
      </c>
      <c r="X40" s="500">
        <v>36006240</v>
      </c>
      <c r="Y40" s="499">
        <v>26444686</v>
      </c>
      <c r="Z40" s="498">
        <f aca="true" t="shared" si="14" ref="Z40:AE40">Z31+Z33</f>
        <v>2386071</v>
      </c>
      <c r="AA40" s="499">
        <v>1191627</v>
      </c>
      <c r="AB40" s="498">
        <v>-1690939.98</v>
      </c>
      <c r="AC40" s="499">
        <v>-1992844.06</v>
      </c>
      <c r="AD40" s="498">
        <f t="shared" si="14"/>
        <v>34831445</v>
      </c>
      <c r="AE40" s="499">
        <f t="shared" si="14"/>
        <v>27912133</v>
      </c>
      <c r="AF40" s="498">
        <v>8417257</v>
      </c>
      <c r="AG40" s="499">
        <v>5182919</v>
      </c>
      <c r="AH40" s="498">
        <f aca="true" t="shared" si="15" ref="AH40:AM40">AH31+AH33</f>
        <v>0</v>
      </c>
      <c r="AI40" s="499">
        <f t="shared" si="15"/>
        <v>-7017637</v>
      </c>
      <c r="AJ40" s="498">
        <f t="shared" si="15"/>
        <v>-1470673</v>
      </c>
      <c r="AK40" s="499">
        <f t="shared" si="15"/>
        <v>-1973481</v>
      </c>
      <c r="AL40" s="498">
        <f t="shared" si="15"/>
        <v>0</v>
      </c>
      <c r="AM40" s="499">
        <f t="shared" si="15"/>
        <v>0</v>
      </c>
      <c r="AN40" s="498">
        <v>90881586</v>
      </c>
      <c r="AO40" s="499">
        <v>78823269</v>
      </c>
      <c r="AP40" s="499">
        <v>5466810</v>
      </c>
      <c r="AQ40" s="499">
        <v>4704449</v>
      </c>
      <c r="AR40" s="498">
        <v>1934157</v>
      </c>
      <c r="AS40" s="499">
        <v>1279691</v>
      </c>
      <c r="AT40" s="498">
        <f>AT31+AT33</f>
        <v>1812742</v>
      </c>
      <c r="AU40" s="499">
        <f>AU31+AU33</f>
        <v>1341685</v>
      </c>
      <c r="AV40" s="501">
        <f>SUM(B40+D40+F40+H40+J40+L40+N40+P40+R40+T40+V40+X40+Z40+AB40+AD40+AF40+AH40+AJ40+AL40+AN40+AP40+AR40+AT40)</f>
        <v>237146542.01999998</v>
      </c>
      <c r="AW40" s="502">
        <f>SUM(C40+E40+G40+I40+K40+M40+O40+Q40+S40+U40+W40+Y40+AA40+AC40+AE40+AG40+AI40+AK40+AM40+AO40+AQ40+AS40+AU40)</f>
        <v>180458271.94</v>
      </c>
      <c r="AX40" s="498"/>
      <c r="AY40" s="499"/>
      <c r="AZ40" s="498">
        <f>AZ31+AZ33</f>
        <v>272605317.02</v>
      </c>
      <c r="BA40" s="499">
        <f>BA31+BA33</f>
        <v>222238671.94</v>
      </c>
    </row>
    <row r="41" spans="1:53" s="61" customFormat="1" ht="28.5">
      <c r="A41" s="1446" t="s">
        <v>150</v>
      </c>
      <c r="B41" s="368"/>
      <c r="C41" s="299"/>
      <c r="D41" s="358"/>
      <c r="E41" s="733"/>
      <c r="F41" s="368"/>
      <c r="G41" s="299"/>
      <c r="H41" s="358"/>
      <c r="I41" s="733"/>
      <c r="J41" s="298"/>
      <c r="K41" s="299"/>
      <c r="L41" s="298"/>
      <c r="M41" s="299"/>
      <c r="N41" s="298"/>
      <c r="O41" s="299"/>
      <c r="P41" s="356"/>
      <c r="Q41" s="357"/>
      <c r="R41" s="298"/>
      <c r="S41" s="299"/>
      <c r="T41" s="298"/>
      <c r="U41" s="299"/>
      <c r="V41" s="298"/>
      <c r="W41" s="299"/>
      <c r="X41" s="358"/>
      <c r="Y41" s="299"/>
      <c r="Z41" s="359"/>
      <c r="AA41" s="360"/>
      <c r="AB41" s="298"/>
      <c r="AC41" s="299"/>
      <c r="AD41" s="298"/>
      <c r="AE41" s="299"/>
      <c r="AF41" s="298"/>
      <c r="AG41" s="299"/>
      <c r="AH41" s="298"/>
      <c r="AI41" s="299"/>
      <c r="AJ41" s="298"/>
      <c r="AK41" s="299"/>
      <c r="AL41" s="298"/>
      <c r="AM41" s="299"/>
      <c r="AN41" s="361"/>
      <c r="AO41" s="362"/>
      <c r="AP41" s="363"/>
      <c r="AQ41" s="364"/>
      <c r="AR41" s="365"/>
      <c r="AS41" s="366"/>
      <c r="AT41" s="298"/>
      <c r="AU41" s="299"/>
      <c r="AV41" s="297"/>
      <c r="AW41" s="367"/>
      <c r="AX41" s="298"/>
      <c r="AY41" s="299"/>
      <c r="AZ41" s="298"/>
      <c r="BA41" s="299"/>
    </row>
    <row r="42" spans="1:53" ht="14.25">
      <c r="A42" s="1432" t="s">
        <v>151</v>
      </c>
      <c r="B42" s="1256"/>
      <c r="C42" s="62"/>
      <c r="D42" s="22"/>
      <c r="E42" s="20"/>
      <c r="F42" s="1043"/>
      <c r="G42" s="23"/>
      <c r="H42" s="22"/>
      <c r="I42" s="20"/>
      <c r="J42" s="19"/>
      <c r="K42" s="23"/>
      <c r="L42" s="19"/>
      <c r="M42" s="23"/>
      <c r="N42" s="19"/>
      <c r="O42" s="23"/>
      <c r="P42" s="19"/>
      <c r="Q42" s="23"/>
      <c r="R42" s="19"/>
      <c r="S42" s="23"/>
      <c r="T42" s="19"/>
      <c r="U42" s="23"/>
      <c r="V42" s="19"/>
      <c r="W42" s="23"/>
      <c r="X42" s="19"/>
      <c r="Y42" s="23"/>
      <c r="Z42" s="24"/>
      <c r="AA42" s="25"/>
      <c r="AB42" s="19"/>
      <c r="AC42" s="23"/>
      <c r="AD42" s="19"/>
      <c r="AE42" s="23"/>
      <c r="AF42" s="19"/>
      <c r="AG42" s="23"/>
      <c r="AH42" s="19"/>
      <c r="AI42" s="23"/>
      <c r="AJ42" s="19"/>
      <c r="AK42" s="23"/>
      <c r="AL42" s="19"/>
      <c r="AM42" s="23"/>
      <c r="AN42" s="280"/>
      <c r="AO42" s="284"/>
      <c r="AP42" s="27"/>
      <c r="AQ42" s="28"/>
      <c r="AR42" s="293"/>
      <c r="AS42" s="294"/>
      <c r="AT42" s="19"/>
      <c r="AU42" s="23"/>
      <c r="AV42" s="35"/>
      <c r="AW42" s="38"/>
      <c r="AX42" s="19"/>
      <c r="AY42" s="23"/>
      <c r="AZ42" s="19"/>
      <c r="BA42" s="23"/>
    </row>
    <row r="43" spans="1:53" ht="14.25">
      <c r="A43" s="1436" t="s">
        <v>152</v>
      </c>
      <c r="B43" s="1449">
        <v>0.56</v>
      </c>
      <c r="C43" s="1450">
        <v>0.55</v>
      </c>
      <c r="D43" s="22"/>
      <c r="E43" s="20"/>
      <c r="F43" s="2">
        <v>-0.21</v>
      </c>
      <c r="G43" s="4">
        <v>-0.25</v>
      </c>
      <c r="H43" s="22"/>
      <c r="I43" s="20"/>
      <c r="J43" s="3">
        <v>0.52</v>
      </c>
      <c r="K43" s="4">
        <v>0.82</v>
      </c>
      <c r="L43" s="19"/>
      <c r="M43" s="23"/>
      <c r="N43" s="3">
        <v>2.48</v>
      </c>
      <c r="O43" s="4">
        <v>-3.59</v>
      </c>
      <c r="P43" s="3">
        <v>-7.54</v>
      </c>
      <c r="Q43" s="4">
        <v>-9.12</v>
      </c>
      <c r="R43" s="19"/>
      <c r="S43" s="23"/>
      <c r="T43" s="19"/>
      <c r="U43" s="23"/>
      <c r="V43" s="3">
        <v>6.73</v>
      </c>
      <c r="W43" s="4">
        <v>6.42</v>
      </c>
      <c r="X43" s="3">
        <v>6.66</v>
      </c>
      <c r="Y43" s="4">
        <v>7.43</v>
      </c>
      <c r="Z43" s="5">
        <v>1.49</v>
      </c>
      <c r="AA43" s="6">
        <v>1.85</v>
      </c>
      <c r="AB43" s="3">
        <v>0.46</v>
      </c>
      <c r="AC43" s="4">
        <v>-1.55</v>
      </c>
      <c r="AD43" s="3">
        <v>13.56</v>
      </c>
      <c r="AE43" s="4">
        <v>11.92</v>
      </c>
      <c r="AF43" s="19"/>
      <c r="AG43" s="23"/>
      <c r="AH43" s="19"/>
      <c r="AI43" s="23"/>
      <c r="AJ43" s="19"/>
      <c r="AK43" s="23"/>
      <c r="AL43" s="19"/>
      <c r="AM43" s="23"/>
      <c r="AN43" s="1259">
        <v>14.56</v>
      </c>
      <c r="AO43" s="1260">
        <v>14.22</v>
      </c>
      <c r="AP43" s="27"/>
      <c r="AQ43" s="28"/>
      <c r="AR43" s="227">
        <v>2.53</v>
      </c>
      <c r="AS43" s="292">
        <v>2.29</v>
      </c>
      <c r="AT43" s="19"/>
      <c r="AU43" s="23"/>
      <c r="AV43" s="35"/>
      <c r="AW43" s="38"/>
      <c r="AX43" s="19"/>
      <c r="AY43" s="23"/>
      <c r="AZ43" s="19"/>
      <c r="BA43" s="23"/>
    </row>
    <row r="44" spans="1:53" ht="15" thickBot="1">
      <c r="A44" s="1447" t="s">
        <v>153</v>
      </c>
      <c r="B44" s="1451">
        <v>0.56</v>
      </c>
      <c r="C44" s="1452">
        <v>0.55</v>
      </c>
      <c r="D44" s="1042"/>
      <c r="E44" s="734"/>
      <c r="F44" s="1399">
        <v>-0.21</v>
      </c>
      <c r="G44" s="69">
        <v>-0.25</v>
      </c>
      <c r="H44" s="1042"/>
      <c r="I44" s="734"/>
      <c r="J44" s="68">
        <v>0.52</v>
      </c>
      <c r="K44" s="69">
        <v>0.82</v>
      </c>
      <c r="L44" s="63"/>
      <c r="M44" s="64"/>
      <c r="N44" s="68">
        <v>2.48</v>
      </c>
      <c r="O44" s="69">
        <v>-3.59</v>
      </c>
      <c r="P44" s="68">
        <v>-7.54</v>
      </c>
      <c r="Q44" s="69">
        <v>-9.12</v>
      </c>
      <c r="R44" s="63"/>
      <c r="S44" s="64"/>
      <c r="T44" s="63"/>
      <c r="U44" s="64"/>
      <c r="V44" s="68">
        <v>6.73</v>
      </c>
      <c r="W44" s="69">
        <v>6.41</v>
      </c>
      <c r="X44" s="68">
        <v>6.65</v>
      </c>
      <c r="Y44" s="69">
        <v>7.42</v>
      </c>
      <c r="Z44" s="953">
        <v>1.49</v>
      </c>
      <c r="AA44" s="954">
        <v>1.85</v>
      </c>
      <c r="AB44" s="68">
        <v>0.46</v>
      </c>
      <c r="AC44" s="69">
        <v>-1.55</v>
      </c>
      <c r="AD44" s="1389">
        <v>13.56</v>
      </c>
      <c r="AE44" s="1390">
        <v>11.92</v>
      </c>
      <c r="AF44" s="63"/>
      <c r="AG44" s="64"/>
      <c r="AH44" s="63"/>
      <c r="AI44" s="64"/>
      <c r="AJ44" s="63"/>
      <c r="AK44" s="64"/>
      <c r="AL44" s="231"/>
      <c r="AM44" s="232"/>
      <c r="AN44" s="1261">
        <v>14.55</v>
      </c>
      <c r="AO44" s="1262">
        <v>14.22</v>
      </c>
      <c r="AP44" s="66"/>
      <c r="AQ44" s="67"/>
      <c r="AR44" s="295">
        <v>2.53</v>
      </c>
      <c r="AS44" s="296">
        <v>2.29</v>
      </c>
      <c r="AT44" s="63"/>
      <c r="AU44" s="64"/>
      <c r="AV44" s="63"/>
      <c r="AW44" s="64"/>
      <c r="AX44" s="63"/>
      <c r="AY44" s="64"/>
      <c r="AZ44" s="231"/>
      <c r="BA44" s="232"/>
    </row>
  </sheetData>
  <sheetProtection/>
  <mergeCells count="29">
    <mergeCell ref="D3:E3"/>
    <mergeCell ref="F3:G3"/>
    <mergeCell ref="H3:I3"/>
    <mergeCell ref="J3:K3"/>
    <mergeCell ref="L3:M3"/>
    <mergeCell ref="AF3:AG3"/>
    <mergeCell ref="AH3:AI3"/>
    <mergeCell ref="P3:Q3"/>
    <mergeCell ref="R3:S3"/>
    <mergeCell ref="T3:U3"/>
    <mergeCell ref="V3:W3"/>
    <mergeCell ref="X3:Y3"/>
    <mergeCell ref="A1:AY1"/>
    <mergeCell ref="A2:AY2"/>
    <mergeCell ref="A3:A4"/>
    <mergeCell ref="AL3:AM3"/>
    <mergeCell ref="B3:C3"/>
    <mergeCell ref="AV3:AW3"/>
    <mergeCell ref="N3:O3"/>
    <mergeCell ref="Z3:AA3"/>
    <mergeCell ref="AB3:AC3"/>
    <mergeCell ref="AD3:AE3"/>
    <mergeCell ref="AZ3:BA3"/>
    <mergeCell ref="AX3:AY3"/>
    <mergeCell ref="AJ3:AK3"/>
    <mergeCell ref="AN3:AO3"/>
    <mergeCell ref="AP3:AQ3"/>
    <mergeCell ref="AR3:AS3"/>
    <mergeCell ref="AT3:AU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/>
  </sheetPr>
  <dimension ref="A1:BA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D17" sqref="BD17"/>
    </sheetView>
  </sheetViews>
  <sheetFormatPr defaultColWidth="9.140625" defaultRowHeight="15"/>
  <cols>
    <col min="1" max="1" width="23.7109375" style="11" bestFit="1" customWidth="1"/>
    <col min="2" max="15" width="12.421875" style="11" bestFit="1" customWidth="1"/>
    <col min="16" max="17" width="12.421875" style="41" bestFit="1" customWidth="1"/>
    <col min="18" max="25" width="12.421875" style="11" bestFit="1" customWidth="1"/>
    <col min="26" max="27" width="12.421875" style="41" bestFit="1" customWidth="1"/>
    <col min="28" max="53" width="12.421875" style="11" bestFit="1" customWidth="1"/>
    <col min="54" max="16384" width="9.140625" style="11" customWidth="1"/>
  </cols>
  <sheetData>
    <row r="1" spans="1:51" ht="14.25">
      <c r="A1" s="1733" t="s">
        <v>13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  <c r="L1" s="1733"/>
      <c r="M1" s="1733"/>
      <c r="N1" s="1733"/>
      <c r="O1" s="1733"/>
      <c r="P1" s="1733"/>
      <c r="Q1" s="1733"/>
      <c r="R1" s="1733"/>
      <c r="S1" s="1733"/>
      <c r="T1" s="1733"/>
      <c r="U1" s="1733"/>
      <c r="V1" s="1733"/>
      <c r="W1" s="1733"/>
      <c r="X1" s="1733"/>
      <c r="Y1" s="1733"/>
      <c r="Z1" s="1733"/>
      <c r="AA1" s="1733"/>
      <c r="AB1" s="1733"/>
      <c r="AC1" s="1733"/>
      <c r="AD1" s="1733"/>
      <c r="AE1" s="1733"/>
      <c r="AF1" s="1733"/>
      <c r="AG1" s="1733"/>
      <c r="AH1" s="1733"/>
      <c r="AI1" s="1733"/>
      <c r="AJ1" s="1733"/>
      <c r="AK1" s="1733"/>
      <c r="AL1" s="1733"/>
      <c r="AM1" s="1733"/>
      <c r="AN1" s="1733"/>
      <c r="AO1" s="1733"/>
      <c r="AP1" s="1733"/>
      <c r="AQ1" s="1733"/>
      <c r="AR1" s="1733"/>
      <c r="AS1" s="1733"/>
      <c r="AT1" s="1733"/>
      <c r="AU1" s="1733"/>
      <c r="AV1" s="1733"/>
      <c r="AW1" s="1733"/>
      <c r="AX1" s="1733"/>
      <c r="AY1" s="1733"/>
    </row>
    <row r="2" spans="1:51" ht="15" thickBot="1">
      <c r="A2" s="1653"/>
      <c r="B2" s="1653"/>
      <c r="C2" s="1653"/>
      <c r="D2" s="1653"/>
      <c r="E2" s="1653"/>
      <c r="F2" s="1653"/>
      <c r="G2" s="1653"/>
      <c r="H2" s="1653"/>
      <c r="I2" s="1653"/>
      <c r="J2" s="1653"/>
      <c r="K2" s="1653"/>
      <c r="L2" s="1653"/>
      <c r="M2" s="1653"/>
      <c r="N2" s="1653"/>
      <c r="O2" s="1653"/>
      <c r="P2" s="1653"/>
      <c r="Q2" s="1653"/>
      <c r="R2" s="1653"/>
      <c r="S2" s="1653"/>
      <c r="T2" s="1653"/>
      <c r="U2" s="1653"/>
      <c r="V2" s="1653"/>
      <c r="W2" s="1653"/>
      <c r="X2" s="1653"/>
      <c r="Y2" s="1653"/>
      <c r="Z2" s="1653"/>
      <c r="AA2" s="1653"/>
      <c r="AB2" s="1653"/>
      <c r="AC2" s="1653"/>
      <c r="AD2" s="1653"/>
      <c r="AE2" s="1653"/>
      <c r="AF2" s="1653"/>
      <c r="AG2" s="1653"/>
      <c r="AH2" s="1653"/>
      <c r="AI2" s="1653"/>
      <c r="AJ2" s="1653"/>
      <c r="AK2" s="1653"/>
      <c r="AL2" s="1653"/>
      <c r="AM2" s="1653"/>
      <c r="AN2" s="1653"/>
      <c r="AO2" s="1653"/>
      <c r="AP2" s="1653"/>
      <c r="AQ2" s="1653"/>
      <c r="AR2" s="1653"/>
      <c r="AS2" s="1653"/>
      <c r="AT2" s="1653"/>
      <c r="AU2" s="1653"/>
      <c r="AV2" s="1653"/>
      <c r="AW2" s="1653"/>
      <c r="AX2" s="1653"/>
      <c r="AY2" s="1653"/>
    </row>
    <row r="3" spans="1:53" s="854" customFormat="1" ht="28.5" customHeight="1" thickBot="1">
      <c r="A3" s="1771" t="s">
        <v>0</v>
      </c>
      <c r="B3" s="1773" t="s">
        <v>163</v>
      </c>
      <c r="C3" s="1774"/>
      <c r="D3" s="1773" t="s">
        <v>164</v>
      </c>
      <c r="E3" s="1774"/>
      <c r="F3" s="1773" t="s">
        <v>165</v>
      </c>
      <c r="G3" s="1774"/>
      <c r="H3" s="1773" t="s">
        <v>166</v>
      </c>
      <c r="I3" s="1774"/>
      <c r="J3" s="1773" t="s">
        <v>167</v>
      </c>
      <c r="K3" s="1774"/>
      <c r="L3" s="1773" t="s">
        <v>168</v>
      </c>
      <c r="M3" s="1774"/>
      <c r="N3" s="1773" t="s">
        <v>446</v>
      </c>
      <c r="O3" s="1774"/>
      <c r="P3" s="1775" t="s">
        <v>169</v>
      </c>
      <c r="Q3" s="1776"/>
      <c r="R3" s="1773" t="s">
        <v>170</v>
      </c>
      <c r="S3" s="1774"/>
      <c r="T3" s="1773" t="s">
        <v>171</v>
      </c>
      <c r="U3" s="1774"/>
      <c r="V3" s="1773" t="s">
        <v>172</v>
      </c>
      <c r="W3" s="1774"/>
      <c r="X3" s="1773" t="s">
        <v>173</v>
      </c>
      <c r="Y3" s="1774"/>
      <c r="Z3" s="1775" t="s">
        <v>526</v>
      </c>
      <c r="AA3" s="1776"/>
      <c r="AB3" s="1773" t="s">
        <v>174</v>
      </c>
      <c r="AC3" s="1774"/>
      <c r="AD3" s="1777" t="s">
        <v>175</v>
      </c>
      <c r="AE3" s="1778"/>
      <c r="AF3" s="1773" t="s">
        <v>176</v>
      </c>
      <c r="AG3" s="1774"/>
      <c r="AH3" s="1773" t="s">
        <v>177</v>
      </c>
      <c r="AI3" s="1774"/>
      <c r="AJ3" s="1773" t="s">
        <v>178</v>
      </c>
      <c r="AK3" s="1774"/>
      <c r="AL3" s="1777" t="s">
        <v>179</v>
      </c>
      <c r="AM3" s="1778"/>
      <c r="AN3" s="1773" t="s">
        <v>180</v>
      </c>
      <c r="AO3" s="1774"/>
      <c r="AP3" s="1773" t="s">
        <v>181</v>
      </c>
      <c r="AQ3" s="1774"/>
      <c r="AR3" s="1773" t="s">
        <v>182</v>
      </c>
      <c r="AS3" s="1774"/>
      <c r="AT3" s="1773" t="s">
        <v>183</v>
      </c>
      <c r="AU3" s="1774"/>
      <c r="AV3" s="1773" t="s">
        <v>1</v>
      </c>
      <c r="AW3" s="1774"/>
      <c r="AX3" s="1779" t="s">
        <v>184</v>
      </c>
      <c r="AY3" s="1780"/>
      <c r="AZ3" s="1777" t="s">
        <v>2</v>
      </c>
      <c r="BA3" s="1778"/>
    </row>
    <row r="4" spans="1:53" s="455" customFormat="1" ht="15" thickBot="1">
      <c r="A4" s="1772"/>
      <c r="B4" s="1250" t="s">
        <v>520</v>
      </c>
      <c r="C4" s="1251" t="s">
        <v>378</v>
      </c>
      <c r="D4" s="1252" t="s">
        <v>520</v>
      </c>
      <c r="E4" s="1251" t="s">
        <v>378</v>
      </c>
      <c r="F4" s="1252" t="s">
        <v>520</v>
      </c>
      <c r="G4" s="1251" t="s">
        <v>378</v>
      </c>
      <c r="H4" s="1252" t="s">
        <v>520</v>
      </c>
      <c r="I4" s="1251" t="s">
        <v>378</v>
      </c>
      <c r="J4" s="1252" t="s">
        <v>520</v>
      </c>
      <c r="K4" s="1251" t="s">
        <v>378</v>
      </c>
      <c r="L4" s="1252" t="s">
        <v>520</v>
      </c>
      <c r="M4" s="1251" t="s">
        <v>378</v>
      </c>
      <c r="N4" s="1252" t="s">
        <v>520</v>
      </c>
      <c r="O4" s="1251" t="s">
        <v>378</v>
      </c>
      <c r="P4" s="1252" t="s">
        <v>520</v>
      </c>
      <c r="Q4" s="1251" t="s">
        <v>378</v>
      </c>
      <c r="R4" s="1252" t="s">
        <v>520</v>
      </c>
      <c r="S4" s="1251" t="s">
        <v>378</v>
      </c>
      <c r="T4" s="1252" t="s">
        <v>520</v>
      </c>
      <c r="U4" s="1251" t="s">
        <v>378</v>
      </c>
      <c r="V4" s="1252" t="s">
        <v>520</v>
      </c>
      <c r="W4" s="1251" t="s">
        <v>378</v>
      </c>
      <c r="X4" s="1252" t="s">
        <v>520</v>
      </c>
      <c r="Y4" s="1251" t="s">
        <v>378</v>
      </c>
      <c r="Z4" s="1252" t="s">
        <v>520</v>
      </c>
      <c r="AA4" s="1251" t="s">
        <v>378</v>
      </c>
      <c r="AB4" s="1252" t="s">
        <v>520</v>
      </c>
      <c r="AC4" s="1251" t="s">
        <v>378</v>
      </c>
      <c r="AD4" s="1252" t="s">
        <v>520</v>
      </c>
      <c r="AE4" s="1251" t="s">
        <v>378</v>
      </c>
      <c r="AF4" s="1252" t="s">
        <v>520</v>
      </c>
      <c r="AG4" s="1251" t="s">
        <v>378</v>
      </c>
      <c r="AH4" s="1252" t="s">
        <v>520</v>
      </c>
      <c r="AI4" s="1251" t="s">
        <v>378</v>
      </c>
      <c r="AJ4" s="1252" t="s">
        <v>520</v>
      </c>
      <c r="AK4" s="1251" t="s">
        <v>378</v>
      </c>
      <c r="AL4" s="1252" t="s">
        <v>520</v>
      </c>
      <c r="AM4" s="1251" t="s">
        <v>378</v>
      </c>
      <c r="AN4" s="1252" t="s">
        <v>520</v>
      </c>
      <c r="AO4" s="1251" t="s">
        <v>378</v>
      </c>
      <c r="AP4" s="1252" t="s">
        <v>520</v>
      </c>
      <c r="AQ4" s="1251" t="s">
        <v>378</v>
      </c>
      <c r="AR4" s="1252" t="s">
        <v>520</v>
      </c>
      <c r="AS4" s="1251" t="s">
        <v>378</v>
      </c>
      <c r="AT4" s="1252" t="s">
        <v>520</v>
      </c>
      <c r="AU4" s="1251" t="s">
        <v>378</v>
      </c>
      <c r="AV4" s="1252" t="s">
        <v>520</v>
      </c>
      <c r="AW4" s="1251" t="s">
        <v>378</v>
      </c>
      <c r="AX4" s="1252" t="s">
        <v>520</v>
      </c>
      <c r="AY4" s="1251" t="s">
        <v>378</v>
      </c>
      <c r="AZ4" s="1252" t="s">
        <v>520</v>
      </c>
      <c r="BA4" s="1251" t="s">
        <v>378</v>
      </c>
    </row>
    <row r="5" spans="1:53" s="752" customFormat="1" ht="13.5">
      <c r="A5" s="377" t="s">
        <v>3</v>
      </c>
      <c r="B5" s="514">
        <v>10569</v>
      </c>
      <c r="C5" s="515">
        <v>25358</v>
      </c>
      <c r="D5" s="514"/>
      <c r="E5" s="515"/>
      <c r="F5" s="514">
        <v>242</v>
      </c>
      <c r="G5" s="515">
        <v>364</v>
      </c>
      <c r="H5" s="514">
        <v>3375</v>
      </c>
      <c r="I5" s="515">
        <v>4648</v>
      </c>
      <c r="J5" s="514"/>
      <c r="K5" s="515"/>
      <c r="L5" s="514"/>
      <c r="M5" s="515"/>
      <c r="N5" s="514">
        <v>91</v>
      </c>
      <c r="O5" s="515"/>
      <c r="P5" s="514">
        <v>1546</v>
      </c>
      <c r="Q5" s="515">
        <v>-1</v>
      </c>
      <c r="R5" s="514"/>
      <c r="S5" s="515"/>
      <c r="T5" s="514">
        <v>807</v>
      </c>
      <c r="U5" s="515">
        <v>2951</v>
      </c>
      <c r="V5" s="514">
        <v>915</v>
      </c>
      <c r="W5" s="515">
        <v>5908</v>
      </c>
      <c r="X5" s="514">
        <v>58603</v>
      </c>
      <c r="Y5" s="515">
        <v>124795</v>
      </c>
      <c r="Z5" s="514">
        <v>6023</v>
      </c>
      <c r="AA5" s="757">
        <v>-12</v>
      </c>
      <c r="AB5" s="42"/>
      <c r="AC5" s="215">
        <v>0</v>
      </c>
      <c r="AD5" s="514">
        <v>1089</v>
      </c>
      <c r="AE5" s="515">
        <v>69</v>
      </c>
      <c r="AF5" s="514">
        <v>10090</v>
      </c>
      <c r="AG5" s="514">
        <v>41477</v>
      </c>
      <c r="AH5" s="514"/>
      <c r="AI5" s="515">
        <v>658</v>
      </c>
      <c r="AJ5" s="514"/>
      <c r="AK5" s="515"/>
      <c r="AL5" s="514"/>
      <c r="AM5" s="515"/>
      <c r="AN5" s="748">
        <v>292258</v>
      </c>
      <c r="AO5" s="749">
        <v>13066</v>
      </c>
      <c r="AP5" s="514"/>
      <c r="AQ5" s="515"/>
      <c r="AR5" s="514">
        <v>37</v>
      </c>
      <c r="AS5" s="515">
        <v>8</v>
      </c>
      <c r="AT5" s="514">
        <v>15249</v>
      </c>
      <c r="AU5" s="515">
        <v>16314</v>
      </c>
      <c r="AV5" s="513">
        <f aca="true" t="shared" si="0" ref="AV5:AV14">SUM(B5+D5+F5+H5+J5+L5+N5+P5+R5+T5+V5+X5+Z5+P5+AD5+AF5+AH5+AJ5+AL5+AN5+AP5+AR5+AT5)</f>
        <v>402440</v>
      </c>
      <c r="AW5" s="758">
        <f aca="true" t="shared" si="1" ref="AW5:AW14">SUM(C5+E5+G5+I5+K5+M5+O5+Q5+S5+U5+W5+Y5+AA5+Q5+AE5+AG5+AI5+AK5+AM5+AO5+AQ5+AS5+AU5)</f>
        <v>235602</v>
      </c>
      <c r="AX5" s="514"/>
      <c r="AY5" s="515">
        <v>786655</v>
      </c>
      <c r="AZ5" s="513">
        <f aca="true" t="shared" si="2" ref="AZ5:AZ14">AV5+AX5</f>
        <v>402440</v>
      </c>
      <c r="BA5" s="758">
        <f aca="true" t="shared" si="3" ref="BA5:BA14">AW5+AY5</f>
        <v>1022257</v>
      </c>
    </row>
    <row r="6" spans="1:53" s="752" customFormat="1" ht="13.5">
      <c r="A6" s="377" t="s">
        <v>4</v>
      </c>
      <c r="B6" s="12">
        <v>7835</v>
      </c>
      <c r="C6" s="15">
        <v>179385</v>
      </c>
      <c r="D6" s="35"/>
      <c r="E6" s="38"/>
      <c r="F6" s="35">
        <v>24069</v>
      </c>
      <c r="G6" s="38"/>
      <c r="H6" s="35">
        <v>8681658</v>
      </c>
      <c r="I6" s="38">
        <v>15308124</v>
      </c>
      <c r="J6" s="35">
        <v>47881</v>
      </c>
      <c r="K6" s="38">
        <v>12788</v>
      </c>
      <c r="L6" s="35">
        <v>4488514</v>
      </c>
      <c r="M6" s="38">
        <v>3356864</v>
      </c>
      <c r="N6" s="35">
        <v>45</v>
      </c>
      <c r="O6" s="38">
        <v>15947</v>
      </c>
      <c r="P6" s="35">
        <v>220236</v>
      </c>
      <c r="Q6" s="38">
        <v>182641</v>
      </c>
      <c r="R6" s="35">
        <v>425</v>
      </c>
      <c r="S6" s="38">
        <v>428</v>
      </c>
      <c r="T6" s="35">
        <v>50468</v>
      </c>
      <c r="U6" s="38">
        <v>67027</v>
      </c>
      <c r="V6" s="35">
        <v>18880855</v>
      </c>
      <c r="W6" s="38">
        <v>255774498</v>
      </c>
      <c r="X6" s="35">
        <v>1708394</v>
      </c>
      <c r="Y6" s="38">
        <v>2090760</v>
      </c>
      <c r="Z6" s="753">
        <v>15003</v>
      </c>
      <c r="AA6" s="754">
        <v>20060</v>
      </c>
      <c r="AB6" s="35">
        <v>199778</v>
      </c>
      <c r="AC6" s="38">
        <v>810746</v>
      </c>
      <c r="AD6" s="35">
        <v>3587000</v>
      </c>
      <c r="AE6" s="38">
        <v>3439906</v>
      </c>
      <c r="AF6" s="35">
        <v>2085667</v>
      </c>
      <c r="AG6" s="35">
        <v>3560412</v>
      </c>
      <c r="AH6" s="35"/>
      <c r="AI6" s="38">
        <v>1842522</v>
      </c>
      <c r="AJ6" s="35"/>
      <c r="AK6" s="38"/>
      <c r="AL6" s="35"/>
      <c r="AM6" s="38"/>
      <c r="AN6" s="750">
        <v>1055579</v>
      </c>
      <c r="AO6" s="751">
        <v>596124</v>
      </c>
      <c r="AP6" s="755"/>
      <c r="AQ6" s="756">
        <v>1</v>
      </c>
      <c r="AR6" s="31">
        <v>4576392</v>
      </c>
      <c r="AS6" s="32">
        <v>1475143</v>
      </c>
      <c r="AT6" s="35">
        <v>5795</v>
      </c>
      <c r="AU6" s="38">
        <v>253</v>
      </c>
      <c r="AV6" s="14">
        <f t="shared" si="0"/>
        <v>45656052</v>
      </c>
      <c r="AW6" s="352">
        <f t="shared" si="1"/>
        <v>288105524</v>
      </c>
      <c r="AX6" s="31"/>
      <c r="AY6" s="32">
        <v>98449</v>
      </c>
      <c r="AZ6" s="14">
        <f t="shared" si="2"/>
        <v>45656052</v>
      </c>
      <c r="BA6" s="352">
        <f t="shared" si="3"/>
        <v>288203973</v>
      </c>
    </row>
    <row r="7" spans="1:53" s="752" customFormat="1" ht="13.5">
      <c r="A7" s="377" t="s">
        <v>5</v>
      </c>
      <c r="B7" s="12">
        <v>783229</v>
      </c>
      <c r="C7" s="15">
        <v>1129403</v>
      </c>
      <c r="D7" s="35">
        <v>34309</v>
      </c>
      <c r="E7" s="38">
        <v>37324</v>
      </c>
      <c r="F7" s="35"/>
      <c r="G7" s="38"/>
      <c r="H7" s="35">
        <v>100937</v>
      </c>
      <c r="I7" s="38">
        <v>4296851</v>
      </c>
      <c r="J7" s="35">
        <v>247</v>
      </c>
      <c r="K7" s="38">
        <v>79</v>
      </c>
      <c r="L7" s="35">
        <v>9549</v>
      </c>
      <c r="M7" s="38">
        <v>12023</v>
      </c>
      <c r="N7" s="35">
        <v>759573</v>
      </c>
      <c r="O7" s="38">
        <v>835051</v>
      </c>
      <c r="P7" s="35"/>
      <c r="Q7" s="38"/>
      <c r="R7" s="35">
        <v>16</v>
      </c>
      <c r="S7" s="38"/>
      <c r="T7" s="35">
        <v>315</v>
      </c>
      <c r="U7" s="38">
        <v>1522</v>
      </c>
      <c r="V7" s="35">
        <v>2523856</v>
      </c>
      <c r="W7" s="38">
        <v>3892458</v>
      </c>
      <c r="X7" s="35">
        <v>1518765</v>
      </c>
      <c r="Y7" s="38">
        <v>425688</v>
      </c>
      <c r="Z7" s="753"/>
      <c r="AA7" s="754"/>
      <c r="AB7" s="35"/>
      <c r="AC7" s="38"/>
      <c r="AD7" s="35">
        <v>2064964</v>
      </c>
      <c r="AE7" s="38">
        <v>1489756</v>
      </c>
      <c r="AF7" s="35">
        <v>11319</v>
      </c>
      <c r="AG7" s="35"/>
      <c r="AH7" s="35"/>
      <c r="AI7" s="38">
        <v>7758</v>
      </c>
      <c r="AJ7" s="35"/>
      <c r="AK7" s="38"/>
      <c r="AL7" s="35"/>
      <c r="AM7" s="38"/>
      <c r="AN7" s="750">
        <v>10090</v>
      </c>
      <c r="AO7" s="751">
        <v>10714</v>
      </c>
      <c r="AP7" s="755">
        <v>1041105</v>
      </c>
      <c r="AQ7" s="756">
        <v>514253</v>
      </c>
      <c r="AR7" s="31"/>
      <c r="AS7" s="32"/>
      <c r="AT7" s="35"/>
      <c r="AU7" s="38"/>
      <c r="AV7" s="14">
        <f t="shared" si="0"/>
        <v>8858274</v>
      </c>
      <c r="AW7" s="352">
        <f t="shared" si="1"/>
        <v>12652880</v>
      </c>
      <c r="AX7" s="31"/>
      <c r="AY7" s="32">
        <v>9611</v>
      </c>
      <c r="AZ7" s="14">
        <f t="shared" si="2"/>
        <v>8858274</v>
      </c>
      <c r="BA7" s="352">
        <f t="shared" si="3"/>
        <v>12662491</v>
      </c>
    </row>
    <row r="8" spans="1:53" s="752" customFormat="1" ht="13.5">
      <c r="A8" s="377" t="s">
        <v>6</v>
      </c>
      <c r="B8" s="12">
        <v>532445</v>
      </c>
      <c r="C8" s="15">
        <v>651763</v>
      </c>
      <c r="D8" s="35">
        <v>84845</v>
      </c>
      <c r="E8" s="38">
        <v>91290</v>
      </c>
      <c r="F8" s="35">
        <v>383103</v>
      </c>
      <c r="G8" s="38">
        <v>350008</v>
      </c>
      <c r="H8" s="35">
        <v>1020343</v>
      </c>
      <c r="I8" s="38">
        <v>1412712</v>
      </c>
      <c r="J8" s="35">
        <v>390</v>
      </c>
      <c r="K8" s="38"/>
      <c r="L8" s="35">
        <v>341840</v>
      </c>
      <c r="M8" s="38">
        <v>149</v>
      </c>
      <c r="N8" s="35">
        <v>217002</v>
      </c>
      <c r="O8" s="38">
        <v>1847331</v>
      </c>
      <c r="P8" s="35">
        <v>30829</v>
      </c>
      <c r="Q8" s="38">
        <v>121592</v>
      </c>
      <c r="R8" s="35">
        <v>1491785</v>
      </c>
      <c r="S8" s="38">
        <v>1779175</v>
      </c>
      <c r="T8" s="35">
        <v>40720</v>
      </c>
      <c r="U8" s="38">
        <v>58994</v>
      </c>
      <c r="V8" s="35">
        <v>2713387</v>
      </c>
      <c r="W8" s="38">
        <v>3386765</v>
      </c>
      <c r="X8" s="35">
        <v>2472012</v>
      </c>
      <c r="Y8" s="38">
        <v>3181133</v>
      </c>
      <c r="Z8" s="753"/>
      <c r="AA8" s="754"/>
      <c r="AB8" s="35">
        <v>1066716</v>
      </c>
      <c r="AC8" s="38">
        <v>628356</v>
      </c>
      <c r="AD8" s="35">
        <v>601117</v>
      </c>
      <c r="AE8" s="38">
        <v>962757</v>
      </c>
      <c r="AF8" s="35">
        <v>394130</v>
      </c>
      <c r="AG8" s="35">
        <v>369070</v>
      </c>
      <c r="AH8" s="35"/>
      <c r="AI8" s="38">
        <v>1299312</v>
      </c>
      <c r="AJ8" s="35">
        <v>2154</v>
      </c>
      <c r="AK8" s="38">
        <v>1228</v>
      </c>
      <c r="AL8" s="35"/>
      <c r="AM8" s="38"/>
      <c r="AN8" s="750">
        <v>451731</v>
      </c>
      <c r="AO8" s="751">
        <v>672677</v>
      </c>
      <c r="AP8" s="755">
        <v>358266</v>
      </c>
      <c r="AQ8" s="756">
        <v>251775</v>
      </c>
      <c r="AR8" s="31">
        <v>19870</v>
      </c>
      <c r="AS8" s="32">
        <v>3200</v>
      </c>
      <c r="AT8" s="35">
        <v>247477</v>
      </c>
      <c r="AU8" s="38">
        <v>220058</v>
      </c>
      <c r="AV8" s="14">
        <f t="shared" si="0"/>
        <v>11434275</v>
      </c>
      <c r="AW8" s="352">
        <f t="shared" si="1"/>
        <v>16782581</v>
      </c>
      <c r="AX8" s="31"/>
      <c r="AY8" s="32">
        <v>14861</v>
      </c>
      <c r="AZ8" s="14">
        <f t="shared" si="2"/>
        <v>11434275</v>
      </c>
      <c r="BA8" s="352">
        <f t="shared" si="3"/>
        <v>16797442</v>
      </c>
    </row>
    <row r="9" spans="1:53" s="752" customFormat="1" ht="13.5">
      <c r="A9" s="377" t="s">
        <v>7</v>
      </c>
      <c r="B9" s="12"/>
      <c r="C9" s="15"/>
      <c r="D9" s="35"/>
      <c r="E9" s="38"/>
      <c r="F9" s="35"/>
      <c r="G9" s="38"/>
      <c r="H9" s="35">
        <v>1612620</v>
      </c>
      <c r="I9" s="38">
        <v>2132313</v>
      </c>
      <c r="J9" s="35"/>
      <c r="K9" s="38"/>
      <c r="L9" s="35"/>
      <c r="M9" s="38"/>
      <c r="N9" s="35">
        <v>119456</v>
      </c>
      <c r="O9" s="38">
        <v>630547</v>
      </c>
      <c r="P9" s="35"/>
      <c r="Q9" s="38"/>
      <c r="R9" s="35"/>
      <c r="S9" s="38"/>
      <c r="T9" s="35"/>
      <c r="U9" s="38"/>
      <c r="V9" s="35">
        <v>276023</v>
      </c>
      <c r="W9" s="38">
        <v>232930</v>
      </c>
      <c r="X9" s="35">
        <v>105438</v>
      </c>
      <c r="Y9" s="38"/>
      <c r="Z9" s="753"/>
      <c r="AA9" s="754"/>
      <c r="AB9" s="35"/>
      <c r="AC9" s="38"/>
      <c r="AD9" s="35">
        <v>3009489</v>
      </c>
      <c r="AE9" s="38">
        <v>3628424</v>
      </c>
      <c r="AF9" s="35"/>
      <c r="AG9" s="38"/>
      <c r="AH9" s="35"/>
      <c r="AI9" s="38"/>
      <c r="AJ9" s="35"/>
      <c r="AK9" s="38"/>
      <c r="AL9" s="35"/>
      <c r="AM9" s="38"/>
      <c r="AN9" s="750"/>
      <c r="AO9" s="751"/>
      <c r="AP9" s="755"/>
      <c r="AQ9" s="756"/>
      <c r="AR9" s="31"/>
      <c r="AS9" s="32"/>
      <c r="AT9" s="35"/>
      <c r="AU9" s="38"/>
      <c r="AV9" s="14">
        <f t="shared" si="0"/>
        <v>5123026</v>
      </c>
      <c r="AW9" s="352">
        <f t="shared" si="1"/>
        <v>6624214</v>
      </c>
      <c r="AX9" s="31"/>
      <c r="AY9" s="32"/>
      <c r="AZ9" s="14">
        <f t="shared" si="2"/>
        <v>5123026</v>
      </c>
      <c r="BA9" s="352">
        <f t="shared" si="3"/>
        <v>6624214</v>
      </c>
    </row>
    <row r="10" spans="1:53" s="752" customFormat="1" ht="13.5">
      <c r="A10" s="377" t="s">
        <v>8</v>
      </c>
      <c r="B10" s="12">
        <v>383828</v>
      </c>
      <c r="C10" s="15">
        <v>947120</v>
      </c>
      <c r="D10" s="35">
        <v>33476</v>
      </c>
      <c r="E10" s="38">
        <v>123071</v>
      </c>
      <c r="F10" s="35">
        <v>82677</v>
      </c>
      <c r="G10" s="38">
        <v>74894</v>
      </c>
      <c r="H10" s="35">
        <v>11741686</v>
      </c>
      <c r="I10" s="38">
        <v>10926695</v>
      </c>
      <c r="J10" s="35">
        <v>1875360</v>
      </c>
      <c r="K10" s="38">
        <v>467789</v>
      </c>
      <c r="L10" s="35">
        <v>59608</v>
      </c>
      <c r="M10" s="38">
        <v>17363</v>
      </c>
      <c r="N10" s="35">
        <v>1203520</v>
      </c>
      <c r="O10" s="38">
        <v>6169892</v>
      </c>
      <c r="P10" s="35">
        <v>20255</v>
      </c>
      <c r="Q10" s="38">
        <v>73314</v>
      </c>
      <c r="R10" s="35">
        <v>50023</v>
      </c>
      <c r="S10" s="38">
        <v>105628</v>
      </c>
      <c r="T10" s="35">
        <v>52128</v>
      </c>
      <c r="U10" s="38">
        <v>437868</v>
      </c>
      <c r="V10" s="35">
        <v>14390054</v>
      </c>
      <c r="W10" s="38">
        <v>27057582</v>
      </c>
      <c r="X10" s="35">
        <f>19825489+97</f>
        <v>19825586</v>
      </c>
      <c r="Y10" s="38">
        <v>25318297</v>
      </c>
      <c r="Z10" s="753">
        <v>2428</v>
      </c>
      <c r="AA10" s="754">
        <v>52114</v>
      </c>
      <c r="AB10" s="35">
        <v>2591273</v>
      </c>
      <c r="AC10" s="38">
        <v>2468657</v>
      </c>
      <c r="AD10" s="39">
        <v>6430268</v>
      </c>
      <c r="AE10" s="40">
        <v>5721336</v>
      </c>
      <c r="AF10" s="35">
        <v>1735318</v>
      </c>
      <c r="AG10" s="38">
        <v>1910316</v>
      </c>
      <c r="AH10" s="35"/>
      <c r="AI10" s="38">
        <v>824332</v>
      </c>
      <c r="AJ10" s="35">
        <v>168923</v>
      </c>
      <c r="AK10" s="38">
        <v>612577</v>
      </c>
      <c r="AL10" s="35"/>
      <c r="AM10" s="38"/>
      <c r="AN10" s="750">
        <v>8847044</v>
      </c>
      <c r="AO10" s="751">
        <v>6115523</v>
      </c>
      <c r="AP10" s="755">
        <v>4481534</v>
      </c>
      <c r="AQ10" s="756">
        <v>2942634</v>
      </c>
      <c r="AR10" s="31">
        <v>5615</v>
      </c>
      <c r="AS10" s="32">
        <v>4537</v>
      </c>
      <c r="AT10" s="35">
        <v>347838</v>
      </c>
      <c r="AU10" s="38">
        <v>124166</v>
      </c>
      <c r="AV10" s="14">
        <f t="shared" si="0"/>
        <v>71757424</v>
      </c>
      <c r="AW10" s="352">
        <f t="shared" si="1"/>
        <v>90100362</v>
      </c>
      <c r="AX10" s="35"/>
      <c r="AY10" s="38">
        <v>39620514</v>
      </c>
      <c r="AZ10" s="14">
        <f t="shared" si="2"/>
        <v>71757424</v>
      </c>
      <c r="BA10" s="352">
        <f t="shared" si="3"/>
        <v>129720876</v>
      </c>
    </row>
    <row r="11" spans="1:53" s="752" customFormat="1" ht="14.25" thickBot="1">
      <c r="A11" s="377" t="s">
        <v>9</v>
      </c>
      <c r="B11" s="781"/>
      <c r="C11" s="782"/>
      <c r="D11" s="785"/>
      <c r="E11" s="786"/>
      <c r="F11" s="785"/>
      <c r="G11" s="786"/>
      <c r="H11" s="785"/>
      <c r="I11" s="786"/>
      <c r="J11" s="785"/>
      <c r="K11" s="786"/>
      <c r="L11" s="785"/>
      <c r="M11" s="786"/>
      <c r="N11" s="785"/>
      <c r="O11" s="786"/>
      <c r="P11" s="785"/>
      <c r="Q11" s="786"/>
      <c r="R11" s="785"/>
      <c r="S11" s="786"/>
      <c r="T11" s="785"/>
      <c r="U11" s="786"/>
      <c r="V11" s="785"/>
      <c r="W11" s="786"/>
      <c r="X11" s="785">
        <v>187</v>
      </c>
      <c r="Y11" s="786">
        <v>53</v>
      </c>
      <c r="Z11" s="787"/>
      <c r="AA11" s="788"/>
      <c r="AB11" s="785"/>
      <c r="AC11" s="786"/>
      <c r="AD11" s="699"/>
      <c r="AE11" s="700"/>
      <c r="AF11" s="785"/>
      <c r="AG11" s="786"/>
      <c r="AH11" s="785"/>
      <c r="AI11" s="786"/>
      <c r="AJ11" s="785"/>
      <c r="AK11" s="786"/>
      <c r="AL11" s="785"/>
      <c r="AM11" s="786"/>
      <c r="AN11" s="789"/>
      <c r="AO11" s="790"/>
      <c r="AP11" s="791"/>
      <c r="AQ11" s="792"/>
      <c r="AR11" s="793"/>
      <c r="AS11" s="794"/>
      <c r="AT11" s="785"/>
      <c r="AU11" s="786">
        <v>53</v>
      </c>
      <c r="AV11" s="711">
        <f t="shared" si="0"/>
        <v>187</v>
      </c>
      <c r="AW11" s="697">
        <f t="shared" si="1"/>
        <v>106</v>
      </c>
      <c r="AX11" s="785"/>
      <c r="AY11" s="786"/>
      <c r="AZ11" s="711">
        <f t="shared" si="2"/>
        <v>187</v>
      </c>
      <c r="BA11" s="697">
        <f t="shared" si="3"/>
        <v>106</v>
      </c>
    </row>
    <row r="12" spans="1:53" s="455" customFormat="1" ht="15" thickBot="1">
      <c r="A12" s="759" t="s">
        <v>10</v>
      </c>
      <c r="B12" s="686">
        <f aca="true" t="shared" si="4" ref="B12:AG12">SUM(B5:B11)</f>
        <v>1717906</v>
      </c>
      <c r="C12" s="687">
        <f t="shared" si="4"/>
        <v>2933029</v>
      </c>
      <c r="D12" s="686">
        <f t="shared" si="4"/>
        <v>152630</v>
      </c>
      <c r="E12" s="687">
        <f t="shared" si="4"/>
        <v>251685</v>
      </c>
      <c r="F12" s="686">
        <f t="shared" si="4"/>
        <v>490091</v>
      </c>
      <c r="G12" s="687">
        <f t="shared" si="4"/>
        <v>425266</v>
      </c>
      <c r="H12" s="686">
        <f t="shared" si="4"/>
        <v>23160619</v>
      </c>
      <c r="I12" s="687">
        <f t="shared" si="4"/>
        <v>34081343</v>
      </c>
      <c r="J12" s="686">
        <f t="shared" si="4"/>
        <v>1923878</v>
      </c>
      <c r="K12" s="687">
        <f t="shared" si="4"/>
        <v>480656</v>
      </c>
      <c r="L12" s="686">
        <f t="shared" si="4"/>
        <v>4899511</v>
      </c>
      <c r="M12" s="687">
        <f t="shared" si="4"/>
        <v>3386399</v>
      </c>
      <c r="N12" s="686">
        <f t="shared" si="4"/>
        <v>2299687</v>
      </c>
      <c r="O12" s="687">
        <f t="shared" si="4"/>
        <v>9498768</v>
      </c>
      <c r="P12" s="686">
        <f>SUM(P5:P11)</f>
        <v>272866</v>
      </c>
      <c r="Q12" s="687">
        <f>SUM(Q5:Q11)</f>
        <v>377546</v>
      </c>
      <c r="R12" s="686">
        <f t="shared" si="4"/>
        <v>1542249</v>
      </c>
      <c r="S12" s="687">
        <f t="shared" si="4"/>
        <v>1885231</v>
      </c>
      <c r="T12" s="686">
        <f t="shared" si="4"/>
        <v>144438</v>
      </c>
      <c r="U12" s="687">
        <f t="shared" si="4"/>
        <v>568362</v>
      </c>
      <c r="V12" s="686">
        <f t="shared" si="4"/>
        <v>38785090</v>
      </c>
      <c r="W12" s="687">
        <f t="shared" si="4"/>
        <v>290350141</v>
      </c>
      <c r="X12" s="686">
        <f t="shared" si="4"/>
        <v>25688985</v>
      </c>
      <c r="Y12" s="687">
        <f t="shared" si="4"/>
        <v>31140726</v>
      </c>
      <c r="Z12" s="686">
        <f t="shared" si="4"/>
        <v>23454</v>
      </c>
      <c r="AA12" s="783">
        <f t="shared" si="4"/>
        <v>72162</v>
      </c>
      <c r="AB12" s="686">
        <f t="shared" si="4"/>
        <v>3857767</v>
      </c>
      <c r="AC12" s="687">
        <f t="shared" si="4"/>
        <v>3907759</v>
      </c>
      <c r="AD12" s="686">
        <f t="shared" si="4"/>
        <v>15693927</v>
      </c>
      <c r="AE12" s="687">
        <f t="shared" si="4"/>
        <v>15242248</v>
      </c>
      <c r="AF12" s="686">
        <f t="shared" si="4"/>
        <v>4236524</v>
      </c>
      <c r="AG12" s="687">
        <f t="shared" si="4"/>
        <v>5881275</v>
      </c>
      <c r="AH12" s="686">
        <f aca="true" t="shared" si="5" ref="AH12:AU12">SUM(AH5:AH11)</f>
        <v>0</v>
      </c>
      <c r="AI12" s="687">
        <f t="shared" si="5"/>
        <v>3974582</v>
      </c>
      <c r="AJ12" s="686">
        <f t="shared" si="5"/>
        <v>171077</v>
      </c>
      <c r="AK12" s="687">
        <f t="shared" si="5"/>
        <v>613805</v>
      </c>
      <c r="AL12" s="686">
        <f t="shared" si="5"/>
        <v>0</v>
      </c>
      <c r="AM12" s="687">
        <f t="shared" si="5"/>
        <v>0</v>
      </c>
      <c r="AN12" s="686">
        <f t="shared" si="5"/>
        <v>10656702</v>
      </c>
      <c r="AO12" s="687">
        <f t="shared" si="5"/>
        <v>7408104</v>
      </c>
      <c r="AP12" s="686">
        <f t="shared" si="5"/>
        <v>5880905</v>
      </c>
      <c r="AQ12" s="687">
        <f t="shared" si="5"/>
        <v>3708663</v>
      </c>
      <c r="AR12" s="686">
        <f t="shared" si="5"/>
        <v>4601914</v>
      </c>
      <c r="AS12" s="687">
        <f t="shared" si="5"/>
        <v>1482888</v>
      </c>
      <c r="AT12" s="686">
        <f t="shared" si="5"/>
        <v>616359</v>
      </c>
      <c r="AU12" s="687">
        <f t="shared" si="5"/>
        <v>360844</v>
      </c>
      <c r="AV12" s="688">
        <f t="shared" si="0"/>
        <v>143231678</v>
      </c>
      <c r="AW12" s="784">
        <f t="shared" si="1"/>
        <v>414501269</v>
      </c>
      <c r="AX12" s="692">
        <f>SUM(AX5:AX11)</f>
        <v>0</v>
      </c>
      <c r="AY12" s="693">
        <f>SUM(AY5:AY11)</f>
        <v>40530090</v>
      </c>
      <c r="AZ12" s="688">
        <f t="shared" si="2"/>
        <v>143231678</v>
      </c>
      <c r="BA12" s="784">
        <f t="shared" si="3"/>
        <v>455031359</v>
      </c>
    </row>
    <row r="13" spans="1:53" ht="15" thickBot="1">
      <c r="A13" s="370" t="s">
        <v>11</v>
      </c>
      <c r="B13" s="795"/>
      <c r="C13" s="796"/>
      <c r="D13" s="797"/>
      <c r="E13" s="798"/>
      <c r="F13" s="797"/>
      <c r="G13" s="798"/>
      <c r="H13" s="797"/>
      <c r="I13" s="798"/>
      <c r="J13" s="799"/>
      <c r="K13" s="800"/>
      <c r="L13" s="797"/>
      <c r="M13" s="798"/>
      <c r="N13" s="797"/>
      <c r="O13" s="798"/>
      <c r="P13" s="797"/>
      <c r="Q13" s="798"/>
      <c r="R13" s="797"/>
      <c r="S13" s="798"/>
      <c r="T13" s="797"/>
      <c r="U13" s="798"/>
      <c r="V13" s="797"/>
      <c r="W13" s="798"/>
      <c r="X13" s="797"/>
      <c r="Y13" s="798"/>
      <c r="Z13" s="797"/>
      <c r="AA13" s="801"/>
      <c r="AB13" s="802"/>
      <c r="AC13" s="803"/>
      <c r="AD13" s="797"/>
      <c r="AE13" s="798"/>
      <c r="AF13" s="797"/>
      <c r="AG13" s="798"/>
      <c r="AH13" s="797"/>
      <c r="AI13" s="798"/>
      <c r="AJ13" s="797"/>
      <c r="AK13" s="798"/>
      <c r="AL13" s="799"/>
      <c r="AM13" s="800"/>
      <c r="AN13" s="804"/>
      <c r="AO13" s="805"/>
      <c r="AP13" s="806"/>
      <c r="AQ13" s="807"/>
      <c r="AR13" s="808">
        <v>0</v>
      </c>
      <c r="AS13" s="809"/>
      <c r="AT13" s="797"/>
      <c r="AU13" s="798"/>
      <c r="AV13" s="810">
        <f t="shared" si="0"/>
        <v>0</v>
      </c>
      <c r="AW13" s="811">
        <f t="shared" si="1"/>
        <v>0</v>
      </c>
      <c r="AX13" s="808"/>
      <c r="AY13" s="809"/>
      <c r="AZ13" s="810">
        <f t="shared" si="2"/>
        <v>0</v>
      </c>
      <c r="BA13" s="811">
        <f t="shared" si="3"/>
        <v>0</v>
      </c>
    </row>
    <row r="14" spans="1:53" s="455" customFormat="1" ht="15" thickBot="1">
      <c r="A14" s="759" t="s">
        <v>12</v>
      </c>
      <c r="B14" s="686">
        <f aca="true" t="shared" si="6" ref="B14:AG14">B12+B13</f>
        <v>1717906</v>
      </c>
      <c r="C14" s="687">
        <f t="shared" si="6"/>
        <v>2933029</v>
      </c>
      <c r="D14" s="686">
        <f t="shared" si="6"/>
        <v>152630</v>
      </c>
      <c r="E14" s="687">
        <f t="shared" si="6"/>
        <v>251685</v>
      </c>
      <c r="F14" s="686">
        <f t="shared" si="6"/>
        <v>490091</v>
      </c>
      <c r="G14" s="687">
        <f t="shared" si="6"/>
        <v>425266</v>
      </c>
      <c r="H14" s="686">
        <f t="shared" si="6"/>
        <v>23160619</v>
      </c>
      <c r="I14" s="687">
        <f t="shared" si="6"/>
        <v>34081343</v>
      </c>
      <c r="J14" s="686">
        <f t="shared" si="6"/>
        <v>1923878</v>
      </c>
      <c r="K14" s="687">
        <f t="shared" si="6"/>
        <v>480656</v>
      </c>
      <c r="L14" s="686">
        <f t="shared" si="6"/>
        <v>4899511</v>
      </c>
      <c r="M14" s="687">
        <f t="shared" si="6"/>
        <v>3386399</v>
      </c>
      <c r="N14" s="686">
        <f t="shared" si="6"/>
        <v>2299687</v>
      </c>
      <c r="O14" s="687">
        <f t="shared" si="6"/>
        <v>9498768</v>
      </c>
      <c r="P14" s="686">
        <f>P12+P13</f>
        <v>272866</v>
      </c>
      <c r="Q14" s="687">
        <f>Q12+Q13</f>
        <v>377546</v>
      </c>
      <c r="R14" s="686">
        <f t="shared" si="6"/>
        <v>1542249</v>
      </c>
      <c r="S14" s="687">
        <f t="shared" si="6"/>
        <v>1885231</v>
      </c>
      <c r="T14" s="686">
        <f t="shared" si="6"/>
        <v>144438</v>
      </c>
      <c r="U14" s="687">
        <f t="shared" si="6"/>
        <v>568362</v>
      </c>
      <c r="V14" s="686">
        <f t="shared" si="6"/>
        <v>38785090</v>
      </c>
      <c r="W14" s="687">
        <f t="shared" si="6"/>
        <v>290350141</v>
      </c>
      <c r="X14" s="686">
        <f t="shared" si="6"/>
        <v>25688985</v>
      </c>
      <c r="Y14" s="687">
        <f t="shared" si="6"/>
        <v>31140726</v>
      </c>
      <c r="Z14" s="686">
        <f t="shared" si="6"/>
        <v>23454</v>
      </c>
      <c r="AA14" s="783">
        <f t="shared" si="6"/>
        <v>72162</v>
      </c>
      <c r="AB14" s="686">
        <f t="shared" si="6"/>
        <v>3857767</v>
      </c>
      <c r="AC14" s="687">
        <f t="shared" si="6"/>
        <v>3907759</v>
      </c>
      <c r="AD14" s="686">
        <f t="shared" si="6"/>
        <v>15693927</v>
      </c>
      <c r="AE14" s="687">
        <f t="shared" si="6"/>
        <v>15242248</v>
      </c>
      <c r="AF14" s="686">
        <f t="shared" si="6"/>
        <v>4236524</v>
      </c>
      <c r="AG14" s="687">
        <f t="shared" si="6"/>
        <v>5881275</v>
      </c>
      <c r="AH14" s="686">
        <f aca="true" t="shared" si="7" ref="AH14:AU14">AH12+AH13</f>
        <v>0</v>
      </c>
      <c r="AI14" s="687">
        <f t="shared" si="7"/>
        <v>3974582</v>
      </c>
      <c r="AJ14" s="686">
        <f t="shared" si="7"/>
        <v>171077</v>
      </c>
      <c r="AK14" s="687">
        <f t="shared" si="7"/>
        <v>613805</v>
      </c>
      <c r="AL14" s="686">
        <f t="shared" si="7"/>
        <v>0</v>
      </c>
      <c r="AM14" s="687">
        <f t="shared" si="7"/>
        <v>0</v>
      </c>
      <c r="AN14" s="686">
        <f t="shared" si="7"/>
        <v>10656702</v>
      </c>
      <c r="AO14" s="687">
        <f t="shared" si="7"/>
        <v>7408104</v>
      </c>
      <c r="AP14" s="686">
        <f t="shared" si="7"/>
        <v>5880905</v>
      </c>
      <c r="AQ14" s="687">
        <f t="shared" si="7"/>
        <v>3708663</v>
      </c>
      <c r="AR14" s="686">
        <f t="shared" si="7"/>
        <v>4601914</v>
      </c>
      <c r="AS14" s="687">
        <f t="shared" si="7"/>
        <v>1482888</v>
      </c>
      <c r="AT14" s="686">
        <f t="shared" si="7"/>
        <v>616359</v>
      </c>
      <c r="AU14" s="687">
        <f t="shared" si="7"/>
        <v>360844</v>
      </c>
      <c r="AV14" s="688">
        <f t="shared" si="0"/>
        <v>143231678</v>
      </c>
      <c r="AW14" s="784">
        <f t="shared" si="1"/>
        <v>414501269</v>
      </c>
      <c r="AX14" s="692">
        <f>AX12+AX13</f>
        <v>0</v>
      </c>
      <c r="AY14" s="693">
        <f>AY12+AY13</f>
        <v>40530090</v>
      </c>
      <c r="AZ14" s="688">
        <f t="shared" si="2"/>
        <v>143231678</v>
      </c>
      <c r="BA14" s="784">
        <f t="shared" si="3"/>
        <v>455031359</v>
      </c>
    </row>
  </sheetData>
  <sheetProtection/>
  <mergeCells count="29">
    <mergeCell ref="AZ3:BA3"/>
    <mergeCell ref="AX3:AY3"/>
    <mergeCell ref="AT3:AU3"/>
    <mergeCell ref="AV3:AW3"/>
    <mergeCell ref="B3:C3"/>
    <mergeCell ref="D3:E3"/>
    <mergeCell ref="F3:G3"/>
    <mergeCell ref="H3:I3"/>
    <mergeCell ref="J3:K3"/>
    <mergeCell ref="L3:M3"/>
    <mergeCell ref="T3:U3"/>
    <mergeCell ref="V3:W3"/>
    <mergeCell ref="X3:Y3"/>
    <mergeCell ref="Z3:AA3"/>
    <mergeCell ref="AN3:AO3"/>
    <mergeCell ref="AL3:AM3"/>
    <mergeCell ref="AJ3:AK3"/>
    <mergeCell ref="AH3:AI3"/>
    <mergeCell ref="AF3:AG3"/>
    <mergeCell ref="R3:S3"/>
    <mergeCell ref="A1:AY1"/>
    <mergeCell ref="A2:AY2"/>
    <mergeCell ref="A3:A4"/>
    <mergeCell ref="N3:O3"/>
    <mergeCell ref="P3:Q3"/>
    <mergeCell ref="AP3:AQ3"/>
    <mergeCell ref="AR3:AS3"/>
    <mergeCell ref="AB3:AC3"/>
    <mergeCell ref="AD3:AE3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/>
  </sheetPr>
  <dimension ref="A1:BA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U20" sqref="U20"/>
    </sheetView>
  </sheetViews>
  <sheetFormatPr defaultColWidth="19.8515625" defaultRowHeight="15"/>
  <cols>
    <col min="1" max="1" width="86.421875" style="70" bestFit="1" customWidth="1"/>
    <col min="2" max="53" width="12.421875" style="70" bestFit="1" customWidth="1"/>
    <col min="54" max="16384" width="19.8515625" style="70" customWidth="1"/>
  </cols>
  <sheetData>
    <row r="1" spans="1:51" ht="17.25">
      <c r="A1" s="820" t="s">
        <v>369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B1" s="820"/>
      <c r="AC1" s="820"/>
      <c r="AD1" s="820"/>
      <c r="AE1" s="820"/>
      <c r="AF1" s="820"/>
      <c r="AG1" s="820"/>
      <c r="AH1" s="820"/>
      <c r="AI1" s="820"/>
      <c r="AJ1" s="820"/>
      <c r="AK1" s="820"/>
      <c r="AL1" s="820"/>
      <c r="AM1" s="820"/>
      <c r="AN1" s="820"/>
      <c r="AO1" s="820"/>
      <c r="AP1" s="820"/>
      <c r="AQ1" s="820"/>
      <c r="AR1" s="820"/>
      <c r="AS1" s="820"/>
      <c r="AT1" s="820"/>
      <c r="AU1" s="820"/>
      <c r="AV1" s="820"/>
      <c r="AW1" s="820"/>
      <c r="AX1" s="820"/>
      <c r="AY1" s="820"/>
    </row>
    <row r="2" spans="1:51" s="604" customFormat="1" ht="18" thickBot="1">
      <c r="A2" s="821" t="s">
        <v>161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821"/>
      <c r="AK2" s="821"/>
      <c r="AL2" s="821"/>
      <c r="AM2" s="821"/>
      <c r="AN2" s="821"/>
      <c r="AO2" s="821"/>
      <c r="AP2" s="821"/>
      <c r="AQ2" s="821"/>
      <c r="AR2" s="821"/>
      <c r="AS2" s="821"/>
      <c r="AT2" s="821"/>
      <c r="AU2" s="821"/>
      <c r="AV2" s="821"/>
      <c r="AW2" s="821"/>
      <c r="AX2" s="821"/>
      <c r="AY2" s="821"/>
    </row>
    <row r="3" spans="1:53" s="777" customFormat="1" ht="39" customHeight="1" thickBot="1">
      <c r="A3" s="822" t="s">
        <v>14</v>
      </c>
      <c r="B3" s="1781" t="s">
        <v>163</v>
      </c>
      <c r="C3" s="1785"/>
      <c r="D3" s="1781" t="s">
        <v>164</v>
      </c>
      <c r="E3" s="1782"/>
      <c r="F3" s="1781" t="s">
        <v>165</v>
      </c>
      <c r="G3" s="1782"/>
      <c r="H3" s="1781" t="s">
        <v>166</v>
      </c>
      <c r="I3" s="1785"/>
      <c r="J3" s="1781" t="s">
        <v>167</v>
      </c>
      <c r="K3" s="1782"/>
      <c r="L3" s="1781" t="s">
        <v>168</v>
      </c>
      <c r="M3" s="1785"/>
      <c r="N3" s="1781" t="s">
        <v>446</v>
      </c>
      <c r="O3" s="1782"/>
      <c r="P3" s="1781" t="s">
        <v>169</v>
      </c>
      <c r="Q3" s="1782"/>
      <c r="R3" s="1781" t="s">
        <v>170</v>
      </c>
      <c r="S3" s="1782"/>
      <c r="T3" s="1781" t="s">
        <v>171</v>
      </c>
      <c r="U3" s="1785"/>
      <c r="V3" s="1781" t="s">
        <v>172</v>
      </c>
      <c r="W3" s="1782"/>
      <c r="X3" s="1781" t="s">
        <v>173</v>
      </c>
      <c r="Y3" s="1782"/>
      <c r="Z3" s="1781" t="s">
        <v>526</v>
      </c>
      <c r="AA3" s="1782"/>
      <c r="AB3" s="1781" t="s">
        <v>174</v>
      </c>
      <c r="AC3" s="1782"/>
      <c r="AD3" s="1783" t="s">
        <v>175</v>
      </c>
      <c r="AE3" s="1784"/>
      <c r="AF3" s="1781" t="s">
        <v>176</v>
      </c>
      <c r="AG3" s="1782"/>
      <c r="AH3" s="1781" t="s">
        <v>177</v>
      </c>
      <c r="AI3" s="1782"/>
      <c r="AJ3" s="1781" t="s">
        <v>178</v>
      </c>
      <c r="AK3" s="1782"/>
      <c r="AL3" s="1783" t="s">
        <v>179</v>
      </c>
      <c r="AM3" s="1784"/>
      <c r="AN3" s="1781" t="s">
        <v>180</v>
      </c>
      <c r="AO3" s="1782"/>
      <c r="AP3" s="1781" t="s">
        <v>181</v>
      </c>
      <c r="AQ3" s="1782"/>
      <c r="AR3" s="1781" t="s">
        <v>182</v>
      </c>
      <c r="AS3" s="1782"/>
      <c r="AT3" s="1781" t="s">
        <v>183</v>
      </c>
      <c r="AU3" s="1782"/>
      <c r="AV3" s="1781" t="s">
        <v>1</v>
      </c>
      <c r="AW3" s="1785"/>
      <c r="AX3" s="1783" t="s">
        <v>184</v>
      </c>
      <c r="AY3" s="1784"/>
      <c r="AZ3" s="1783" t="s">
        <v>2</v>
      </c>
      <c r="BA3" s="1784"/>
    </row>
    <row r="4" spans="1:53" s="458" customFormat="1" ht="17.25" thickBot="1">
      <c r="A4" s="823"/>
      <c r="B4" s="1250" t="s">
        <v>520</v>
      </c>
      <c r="C4" s="1251" t="s">
        <v>378</v>
      </c>
      <c r="D4" s="1252" t="s">
        <v>520</v>
      </c>
      <c r="E4" s="1251" t="s">
        <v>378</v>
      </c>
      <c r="F4" s="1252" t="s">
        <v>520</v>
      </c>
      <c r="G4" s="1251" t="s">
        <v>378</v>
      </c>
      <c r="H4" s="1252" t="s">
        <v>520</v>
      </c>
      <c r="I4" s="1251" t="s">
        <v>378</v>
      </c>
      <c r="J4" s="1252" t="s">
        <v>520</v>
      </c>
      <c r="K4" s="1251" t="s">
        <v>378</v>
      </c>
      <c r="L4" s="1252" t="s">
        <v>520</v>
      </c>
      <c r="M4" s="1253" t="s">
        <v>378</v>
      </c>
      <c r="N4" s="1250" t="s">
        <v>520</v>
      </c>
      <c r="O4" s="1251" t="s">
        <v>378</v>
      </c>
      <c r="P4" s="1252" t="s">
        <v>520</v>
      </c>
      <c r="Q4" s="1251" t="s">
        <v>378</v>
      </c>
      <c r="R4" s="1252" t="s">
        <v>520</v>
      </c>
      <c r="S4" s="1251" t="s">
        <v>378</v>
      </c>
      <c r="T4" s="1252" t="s">
        <v>520</v>
      </c>
      <c r="U4" s="1253" t="s">
        <v>378</v>
      </c>
      <c r="V4" s="1250" t="s">
        <v>520</v>
      </c>
      <c r="W4" s="1251" t="s">
        <v>378</v>
      </c>
      <c r="X4" s="1252" t="s">
        <v>520</v>
      </c>
      <c r="Y4" s="1251" t="s">
        <v>378</v>
      </c>
      <c r="Z4" s="1252" t="s">
        <v>520</v>
      </c>
      <c r="AA4" s="1251" t="s">
        <v>378</v>
      </c>
      <c r="AB4" s="1252" t="s">
        <v>520</v>
      </c>
      <c r="AC4" s="1251" t="s">
        <v>378</v>
      </c>
      <c r="AD4" s="1252" t="s">
        <v>520</v>
      </c>
      <c r="AE4" s="1251" t="s">
        <v>378</v>
      </c>
      <c r="AF4" s="1252" t="s">
        <v>520</v>
      </c>
      <c r="AG4" s="1251" t="s">
        <v>378</v>
      </c>
      <c r="AH4" s="1252" t="s">
        <v>520</v>
      </c>
      <c r="AI4" s="1251" t="s">
        <v>378</v>
      </c>
      <c r="AJ4" s="1252" t="s">
        <v>520</v>
      </c>
      <c r="AK4" s="1251" t="s">
        <v>378</v>
      </c>
      <c r="AL4" s="1252" t="s">
        <v>520</v>
      </c>
      <c r="AM4" s="1251" t="s">
        <v>378</v>
      </c>
      <c r="AN4" s="1252" t="s">
        <v>520</v>
      </c>
      <c r="AO4" s="1251" t="s">
        <v>378</v>
      </c>
      <c r="AP4" s="1252" t="s">
        <v>520</v>
      </c>
      <c r="AQ4" s="1251" t="s">
        <v>378</v>
      </c>
      <c r="AR4" s="1252" t="s">
        <v>520</v>
      </c>
      <c r="AS4" s="1251" t="s">
        <v>378</v>
      </c>
      <c r="AT4" s="1252" t="s">
        <v>520</v>
      </c>
      <c r="AU4" s="1251" t="s">
        <v>378</v>
      </c>
      <c r="AV4" s="1252" t="s">
        <v>520</v>
      </c>
      <c r="AW4" s="1251" t="s">
        <v>378</v>
      </c>
      <c r="AX4" s="1252" t="s">
        <v>520</v>
      </c>
      <c r="AY4" s="1251" t="s">
        <v>378</v>
      </c>
      <c r="AZ4" s="1252" t="s">
        <v>520</v>
      </c>
      <c r="BA4" s="1251" t="s">
        <v>378</v>
      </c>
    </row>
    <row r="5" spans="1:53" ht="17.25">
      <c r="A5" s="239" t="s">
        <v>3</v>
      </c>
      <c r="B5" s="418">
        <v>875</v>
      </c>
      <c r="C5" s="419">
        <v>795</v>
      </c>
      <c r="D5" s="420">
        <v>-0.08</v>
      </c>
      <c r="E5" s="423">
        <v>0.03</v>
      </c>
      <c r="F5" s="421">
        <v>46.95</v>
      </c>
      <c r="G5" s="423">
        <v>47.63</v>
      </c>
      <c r="H5" s="421">
        <v>1053</v>
      </c>
      <c r="I5" s="422">
        <v>1142</v>
      </c>
      <c r="J5" s="420">
        <v>290.22</v>
      </c>
      <c r="K5" s="423">
        <v>212</v>
      </c>
      <c r="L5" s="421">
        <v>3.75</v>
      </c>
      <c r="M5" s="422">
        <v>0.51</v>
      </c>
      <c r="N5" s="420">
        <v>48.29</v>
      </c>
      <c r="O5" s="423">
        <v>64.43</v>
      </c>
      <c r="P5" s="424">
        <v>203.14</v>
      </c>
      <c r="Q5" s="425">
        <v>182.13</v>
      </c>
      <c r="R5" s="45">
        <v>427.37</v>
      </c>
      <c r="S5" s="53">
        <v>423.05</v>
      </c>
      <c r="T5" s="45">
        <v>32.06</v>
      </c>
      <c r="U5" s="661">
        <v>50.63</v>
      </c>
      <c r="V5" s="1388">
        <v>1238.02</v>
      </c>
      <c r="W5" s="53">
        <v>1125.39</v>
      </c>
      <c r="X5" s="45">
        <v>1937</v>
      </c>
      <c r="Y5" s="661">
        <v>1724.5</v>
      </c>
      <c r="Z5" s="664">
        <v>29.6</v>
      </c>
      <c r="AA5" s="426">
        <v>19.26</v>
      </c>
      <c r="AB5" s="421">
        <v>23.11</v>
      </c>
      <c r="AC5" s="422">
        <v>22.83</v>
      </c>
      <c r="AD5" s="420">
        <v>498.81</v>
      </c>
      <c r="AE5" s="423">
        <v>785.76</v>
      </c>
      <c r="AF5" s="421">
        <v>1631.49</v>
      </c>
      <c r="AG5" s="422">
        <v>1139.66</v>
      </c>
      <c r="AH5" s="420"/>
      <c r="AI5" s="423">
        <v>60.22</v>
      </c>
      <c r="AJ5" s="421">
        <v>356.09</v>
      </c>
      <c r="AK5" s="422">
        <v>512.49</v>
      </c>
      <c r="AL5" s="420"/>
      <c r="AM5" s="423"/>
      <c r="AN5" s="859">
        <v>3458</v>
      </c>
      <c r="AO5" s="860">
        <v>3240</v>
      </c>
      <c r="AP5" s="855">
        <v>34.3</v>
      </c>
      <c r="AQ5" s="427">
        <v>33.8</v>
      </c>
      <c r="AR5" s="428">
        <v>-0.07</v>
      </c>
      <c r="AS5" s="666">
        <v>-0.01</v>
      </c>
      <c r="AT5" s="420">
        <v>1014.48</v>
      </c>
      <c r="AU5" s="423">
        <v>833.21</v>
      </c>
      <c r="AV5" s="430">
        <f aca="true" t="shared" si="0" ref="AV5:AV18">SUM(B5+D5+F5+H5+J5+L5+N5+P5+R5+T5+V5+X5+Z5+AB5+AD5+AF5+AH5+AJ5+AL5+AN5+AP5+AR5+AT5)</f>
        <v>13200.529999999999</v>
      </c>
      <c r="AW5" s="867">
        <f aca="true" t="shared" si="1" ref="AW5:AW18">SUM(C5+E5+G5+I5+K5+M5+O5+Q5+S5+U5+W5+Y5+AA5+AC5+AE5+AG5+AI5+AK5+AM5+AO5+AQ5+AS5+AU5)</f>
        <v>12414.52</v>
      </c>
      <c r="AX5" s="431">
        <v>52909.96</v>
      </c>
      <c r="AY5" s="429">
        <v>48700.11</v>
      </c>
      <c r="AZ5" s="430">
        <f aca="true" t="shared" si="2" ref="AZ5:AZ18">AV5+AX5</f>
        <v>66110.48999999999</v>
      </c>
      <c r="BA5" s="432">
        <f aca="true" t="shared" si="3" ref="BA5:BA18">AW5+AY5</f>
        <v>61114.630000000005</v>
      </c>
    </row>
    <row r="6" spans="1:53" ht="17.25">
      <c r="A6" s="107" t="s">
        <v>4</v>
      </c>
      <c r="B6" s="71">
        <v>1094</v>
      </c>
      <c r="C6" s="72">
        <v>905</v>
      </c>
      <c r="D6" s="73"/>
      <c r="E6" s="76">
        <v>0.15</v>
      </c>
      <c r="F6" s="74">
        <v>43.11</v>
      </c>
      <c r="G6" s="76">
        <v>20.38</v>
      </c>
      <c r="H6" s="74">
        <v>816</v>
      </c>
      <c r="I6" s="75">
        <v>268</v>
      </c>
      <c r="J6" s="73">
        <v>38.12</v>
      </c>
      <c r="K6" s="76">
        <v>26</v>
      </c>
      <c r="L6" s="74">
        <v>1383.87</v>
      </c>
      <c r="M6" s="75">
        <v>1075.61</v>
      </c>
      <c r="N6" s="73">
        <v>1.6</v>
      </c>
      <c r="O6" s="76">
        <v>6.86</v>
      </c>
      <c r="P6" s="77">
        <v>62.35</v>
      </c>
      <c r="Q6" s="78">
        <v>36.52</v>
      </c>
      <c r="R6" s="3">
        <v>31.15</v>
      </c>
      <c r="S6" s="4">
        <v>42.69</v>
      </c>
      <c r="T6" s="3">
        <v>54.48</v>
      </c>
      <c r="U6" s="224">
        <v>81.41</v>
      </c>
      <c r="V6" s="2">
        <v>4614.91</v>
      </c>
      <c r="W6" s="4">
        <v>3537.31</v>
      </c>
      <c r="X6" s="3">
        <v>3675</v>
      </c>
      <c r="Y6" s="224">
        <v>3915.5</v>
      </c>
      <c r="Z6" s="225">
        <v>427.62</v>
      </c>
      <c r="AA6" s="6">
        <v>374.2</v>
      </c>
      <c r="AB6" s="74">
        <v>830.35</v>
      </c>
      <c r="AC6" s="75">
        <v>774.08</v>
      </c>
      <c r="AD6" s="73">
        <v>1794.54</v>
      </c>
      <c r="AE6" s="76">
        <v>1310.7</v>
      </c>
      <c r="AF6" s="74">
        <v>3956.23</v>
      </c>
      <c r="AG6" s="75">
        <v>3152.74</v>
      </c>
      <c r="AH6" s="73"/>
      <c r="AI6" s="76">
        <v>857.37</v>
      </c>
      <c r="AJ6" s="74">
        <v>11.49</v>
      </c>
      <c r="AK6" s="75">
        <v>12.32</v>
      </c>
      <c r="AL6" s="73"/>
      <c r="AM6" s="76"/>
      <c r="AN6" s="128">
        <v>8172</v>
      </c>
      <c r="AO6" s="86">
        <v>7586</v>
      </c>
      <c r="AP6" s="856">
        <v>4.44</v>
      </c>
      <c r="AQ6" s="79">
        <v>2.86</v>
      </c>
      <c r="AR6" s="80">
        <v>864.07</v>
      </c>
      <c r="AS6" s="667">
        <v>636.02</v>
      </c>
      <c r="AT6" s="73">
        <v>2418.22</v>
      </c>
      <c r="AU6" s="76">
        <v>1847.82</v>
      </c>
      <c r="AV6" s="82">
        <f t="shared" si="0"/>
        <v>30293.550000000003</v>
      </c>
      <c r="AW6" s="868">
        <f t="shared" si="1"/>
        <v>26469.54</v>
      </c>
      <c r="AX6" s="83">
        <v>1755.76</v>
      </c>
      <c r="AY6" s="81">
        <v>1449.98</v>
      </c>
      <c r="AZ6" s="82">
        <f t="shared" si="2"/>
        <v>32049.31</v>
      </c>
      <c r="BA6" s="240">
        <f t="shared" si="3"/>
        <v>27919.52</v>
      </c>
    </row>
    <row r="7" spans="1:53" ht="17.25">
      <c r="A7" s="107" t="s">
        <v>5</v>
      </c>
      <c r="B7" s="71">
        <v>12</v>
      </c>
      <c r="C7" s="72">
        <v>3</v>
      </c>
      <c r="D7" s="73">
        <v>3.36</v>
      </c>
      <c r="E7" s="76">
        <v>6.31</v>
      </c>
      <c r="F7" s="74">
        <v>17.2</v>
      </c>
      <c r="G7" s="76">
        <v>14.63</v>
      </c>
      <c r="H7" s="74">
        <v>62</v>
      </c>
      <c r="I7" s="75">
        <v>74</v>
      </c>
      <c r="J7" s="73">
        <v>107.89</v>
      </c>
      <c r="K7" s="76">
        <v>53</v>
      </c>
      <c r="L7" s="74">
        <v>0.89</v>
      </c>
      <c r="M7" s="75">
        <v>1.25</v>
      </c>
      <c r="N7" s="73">
        <v>4.41</v>
      </c>
      <c r="O7" s="76">
        <v>5.27</v>
      </c>
      <c r="P7" s="77">
        <v>33.1</v>
      </c>
      <c r="Q7" s="78">
        <v>25.87</v>
      </c>
      <c r="R7" s="3">
        <v>9.26</v>
      </c>
      <c r="S7" s="4">
        <v>25.32</v>
      </c>
      <c r="T7" s="3">
        <v>15.24</v>
      </c>
      <c r="U7" s="224">
        <v>34.04</v>
      </c>
      <c r="V7" s="2">
        <v>379.87</v>
      </c>
      <c r="W7" s="4">
        <v>353.33</v>
      </c>
      <c r="X7" s="3">
        <v>395</v>
      </c>
      <c r="Y7" s="224">
        <v>279.3</v>
      </c>
      <c r="Z7" s="225"/>
      <c r="AA7" s="6"/>
      <c r="AB7" s="74">
        <v>26.96</v>
      </c>
      <c r="AC7" s="75">
        <v>35.62</v>
      </c>
      <c r="AD7" s="73">
        <v>9.29</v>
      </c>
      <c r="AE7" s="76">
        <v>4.07</v>
      </c>
      <c r="AF7" s="74">
        <v>111.71</v>
      </c>
      <c r="AG7" s="75">
        <v>90.57</v>
      </c>
      <c r="AH7" s="73"/>
      <c r="AI7" s="76">
        <v>2.46</v>
      </c>
      <c r="AJ7" s="74">
        <v>43.69</v>
      </c>
      <c r="AK7" s="75">
        <v>57.93</v>
      </c>
      <c r="AL7" s="73"/>
      <c r="AM7" s="76"/>
      <c r="AN7" s="861">
        <v>354</v>
      </c>
      <c r="AO7" s="862">
        <v>196</v>
      </c>
      <c r="AP7" s="856">
        <v>250.05</v>
      </c>
      <c r="AQ7" s="79">
        <v>238.49</v>
      </c>
      <c r="AR7" s="80"/>
      <c r="AS7" s="667"/>
      <c r="AT7" s="73">
        <v>66.32</v>
      </c>
      <c r="AU7" s="76">
        <v>45.49</v>
      </c>
      <c r="AV7" s="82">
        <f t="shared" si="0"/>
        <v>1902.24</v>
      </c>
      <c r="AW7" s="868">
        <f t="shared" si="1"/>
        <v>1545.95</v>
      </c>
      <c r="AX7" s="83">
        <v>65.01</v>
      </c>
      <c r="AY7" s="81">
        <v>40.65</v>
      </c>
      <c r="AZ7" s="82">
        <f t="shared" si="2"/>
        <v>1967.25</v>
      </c>
      <c r="BA7" s="240">
        <f t="shared" si="3"/>
        <v>1586.6000000000001</v>
      </c>
    </row>
    <row r="8" spans="1:53" ht="17.25">
      <c r="A8" s="107" t="s">
        <v>6</v>
      </c>
      <c r="B8" s="71">
        <v>6</v>
      </c>
      <c r="C8" s="72">
        <v>27</v>
      </c>
      <c r="D8" s="73">
        <v>4.76</v>
      </c>
      <c r="E8" s="76">
        <v>3.63</v>
      </c>
      <c r="F8" s="74">
        <v>5.17</v>
      </c>
      <c r="G8" s="76">
        <v>4.57</v>
      </c>
      <c r="H8" s="74">
        <v>67</v>
      </c>
      <c r="I8" s="75">
        <v>69</v>
      </c>
      <c r="J8" s="73">
        <v>98.73</v>
      </c>
      <c r="K8" s="76">
        <v>272</v>
      </c>
      <c r="L8" s="74">
        <v>3.15</v>
      </c>
      <c r="M8" s="75">
        <v>0.72</v>
      </c>
      <c r="N8" s="73">
        <v>-0.09</v>
      </c>
      <c r="O8" s="76">
        <v>-0.33</v>
      </c>
      <c r="P8" s="77">
        <v>27.13</v>
      </c>
      <c r="Q8" s="78">
        <v>16.4</v>
      </c>
      <c r="R8" s="3">
        <v>124.3</v>
      </c>
      <c r="S8" s="4">
        <v>208.22</v>
      </c>
      <c r="T8" s="3">
        <v>9.42</v>
      </c>
      <c r="U8" s="224">
        <v>4.91</v>
      </c>
      <c r="V8" s="2">
        <v>474.69</v>
      </c>
      <c r="W8" s="4">
        <v>482.16</v>
      </c>
      <c r="X8" s="3">
        <v>263</v>
      </c>
      <c r="Y8" s="224">
        <v>208.5</v>
      </c>
      <c r="Z8" s="225">
        <v>23.18</v>
      </c>
      <c r="AA8" s="6">
        <v>7.81</v>
      </c>
      <c r="AB8" s="74">
        <v>6.38</v>
      </c>
      <c r="AC8" s="75">
        <v>11.44</v>
      </c>
      <c r="AD8" s="73">
        <v>54.06</v>
      </c>
      <c r="AE8" s="76">
        <v>63.71</v>
      </c>
      <c r="AF8" s="74">
        <v>12.38</v>
      </c>
      <c r="AG8" s="75">
        <v>4.23</v>
      </c>
      <c r="AH8" s="73"/>
      <c r="AI8" s="76">
        <v>18.92</v>
      </c>
      <c r="AJ8" s="74">
        <v>31.99</v>
      </c>
      <c r="AK8" s="75">
        <v>48.22</v>
      </c>
      <c r="AL8" s="73"/>
      <c r="AM8" s="76"/>
      <c r="AN8" s="861">
        <v>1</v>
      </c>
      <c r="AO8" s="862">
        <v>1</v>
      </c>
      <c r="AP8" s="856">
        <v>46.18</v>
      </c>
      <c r="AQ8" s="79">
        <v>22.28</v>
      </c>
      <c r="AR8" s="80">
        <v>-0.02</v>
      </c>
      <c r="AS8" s="667">
        <v>-0.0048</v>
      </c>
      <c r="AT8" s="73">
        <v>235.33</v>
      </c>
      <c r="AU8" s="76">
        <v>159.09</v>
      </c>
      <c r="AV8" s="82">
        <f t="shared" si="0"/>
        <v>1493.7400000000002</v>
      </c>
      <c r="AW8" s="868">
        <f t="shared" si="1"/>
        <v>1633.4752</v>
      </c>
      <c r="AX8" s="83">
        <v>37.14</v>
      </c>
      <c r="AY8" s="81">
        <v>27.6</v>
      </c>
      <c r="AZ8" s="82">
        <f t="shared" si="2"/>
        <v>1530.8800000000003</v>
      </c>
      <c r="BA8" s="240">
        <f t="shared" si="3"/>
        <v>1661.0752</v>
      </c>
    </row>
    <row r="9" spans="1:53" ht="17.25">
      <c r="A9" s="107" t="s">
        <v>7</v>
      </c>
      <c r="B9" s="43"/>
      <c r="C9" s="87"/>
      <c r="D9" s="84"/>
      <c r="E9" s="90"/>
      <c r="F9" s="88"/>
      <c r="G9" s="90"/>
      <c r="H9" s="88"/>
      <c r="I9" s="89"/>
      <c r="J9" s="84"/>
      <c r="K9" s="90"/>
      <c r="L9" s="88"/>
      <c r="M9" s="89"/>
      <c r="N9" s="84"/>
      <c r="O9" s="90"/>
      <c r="P9" s="77"/>
      <c r="Q9" s="78">
        <v>0.01</v>
      </c>
      <c r="R9" s="8"/>
      <c r="S9" s="9"/>
      <c r="T9" s="8"/>
      <c r="U9" s="99"/>
      <c r="V9" s="7"/>
      <c r="W9" s="9"/>
      <c r="X9" s="8"/>
      <c r="Y9" s="99"/>
      <c r="Z9" s="225"/>
      <c r="AA9" s="6"/>
      <c r="AB9" s="88"/>
      <c r="AC9" s="89"/>
      <c r="AD9" s="665">
        <v>0.07</v>
      </c>
      <c r="AE9" s="91">
        <v>0.11</v>
      </c>
      <c r="AF9" s="88"/>
      <c r="AG9" s="89"/>
      <c r="AH9" s="84"/>
      <c r="AI9" s="90"/>
      <c r="AJ9" s="88"/>
      <c r="AK9" s="89"/>
      <c r="AL9" s="73"/>
      <c r="AM9" s="76"/>
      <c r="AN9" s="863"/>
      <c r="AO9" s="864"/>
      <c r="AP9" s="856"/>
      <c r="AQ9" s="79"/>
      <c r="AR9" s="80"/>
      <c r="AS9" s="667"/>
      <c r="AT9" s="84">
        <v>0.79</v>
      </c>
      <c r="AU9" s="90">
        <v>1.14</v>
      </c>
      <c r="AV9" s="82">
        <f t="shared" si="0"/>
        <v>0.8600000000000001</v>
      </c>
      <c r="AW9" s="868">
        <f t="shared" si="1"/>
        <v>1.2599999999999998</v>
      </c>
      <c r="AX9" s="84">
        <v>352.92</v>
      </c>
      <c r="AY9" s="90">
        <v>222.09</v>
      </c>
      <c r="AZ9" s="82">
        <f t="shared" si="2"/>
        <v>353.78000000000003</v>
      </c>
      <c r="BA9" s="240">
        <f t="shared" si="3"/>
        <v>223.35</v>
      </c>
    </row>
    <row r="10" spans="1:53" ht="17.25">
      <c r="A10" s="107" t="s">
        <v>15</v>
      </c>
      <c r="B10" s="71"/>
      <c r="C10" s="72"/>
      <c r="D10" s="73"/>
      <c r="E10" s="76"/>
      <c r="F10" s="74"/>
      <c r="G10" s="76"/>
      <c r="H10" s="74"/>
      <c r="I10" s="75"/>
      <c r="J10" s="73"/>
      <c r="K10" s="76"/>
      <c r="L10" s="74"/>
      <c r="M10" s="75"/>
      <c r="N10" s="73"/>
      <c r="O10" s="76"/>
      <c r="P10" s="77"/>
      <c r="Q10" s="78"/>
      <c r="R10" s="3"/>
      <c r="S10" s="4"/>
      <c r="T10" s="3"/>
      <c r="U10" s="224"/>
      <c r="V10" s="2"/>
      <c r="W10" s="4"/>
      <c r="X10" s="3"/>
      <c r="Y10" s="224"/>
      <c r="Z10" s="2"/>
      <c r="AA10" s="4"/>
      <c r="AB10" s="74">
        <v>7.4</v>
      </c>
      <c r="AC10" s="75">
        <v>1.25</v>
      </c>
      <c r="AD10" s="73"/>
      <c r="AE10" s="76"/>
      <c r="AF10" s="74"/>
      <c r="AG10" s="75"/>
      <c r="AH10" s="73"/>
      <c r="AI10" s="76"/>
      <c r="AJ10" s="74"/>
      <c r="AK10" s="75"/>
      <c r="AL10" s="73"/>
      <c r="AM10" s="76"/>
      <c r="AN10" s="861"/>
      <c r="AO10" s="862"/>
      <c r="AP10" s="856"/>
      <c r="AQ10" s="79"/>
      <c r="AR10" s="80"/>
      <c r="AS10" s="667"/>
      <c r="AT10" s="73"/>
      <c r="AU10" s="76"/>
      <c r="AV10" s="82">
        <f t="shared" si="0"/>
        <v>7.4</v>
      </c>
      <c r="AW10" s="868">
        <f t="shared" si="1"/>
        <v>1.25</v>
      </c>
      <c r="AX10" s="83"/>
      <c r="AY10" s="81"/>
      <c r="AZ10" s="82">
        <f t="shared" si="2"/>
        <v>7.4</v>
      </c>
      <c r="BA10" s="240">
        <f t="shared" si="3"/>
        <v>1.25</v>
      </c>
    </row>
    <row r="11" spans="1:53" ht="17.25">
      <c r="A11" s="107" t="s">
        <v>8</v>
      </c>
      <c r="B11" s="71">
        <v>89</v>
      </c>
      <c r="C11" s="72">
        <v>73</v>
      </c>
      <c r="D11" s="73">
        <v>27.04</v>
      </c>
      <c r="E11" s="76">
        <v>63.06</v>
      </c>
      <c r="F11" s="74">
        <v>48.47</v>
      </c>
      <c r="G11" s="76">
        <v>36.7</v>
      </c>
      <c r="H11" s="74">
        <v>315</v>
      </c>
      <c r="I11" s="75">
        <v>231</v>
      </c>
      <c r="J11" s="73">
        <v>111</v>
      </c>
      <c r="K11" s="76">
        <v>71</v>
      </c>
      <c r="L11" s="74">
        <v>36.41</v>
      </c>
      <c r="M11" s="75">
        <v>14.63</v>
      </c>
      <c r="N11" s="73">
        <v>60.33</v>
      </c>
      <c r="O11" s="76">
        <v>89.16</v>
      </c>
      <c r="P11" s="77">
        <v>80.87</v>
      </c>
      <c r="Q11" s="78">
        <v>68.39</v>
      </c>
      <c r="R11" s="3">
        <v>60.6</v>
      </c>
      <c r="S11" s="4">
        <v>54.61</v>
      </c>
      <c r="T11" s="3">
        <v>244.63</v>
      </c>
      <c r="U11" s="224">
        <v>200.54</v>
      </c>
      <c r="V11" s="2">
        <v>3310.29</v>
      </c>
      <c r="W11" s="4">
        <v>2873.53</v>
      </c>
      <c r="X11" s="3">
        <v>1344</v>
      </c>
      <c r="Y11" s="224">
        <v>1580.6</v>
      </c>
      <c r="Z11" s="2">
        <v>24.02</v>
      </c>
      <c r="AA11" s="4">
        <v>5.73</v>
      </c>
      <c r="AB11" s="74">
        <v>29.79</v>
      </c>
      <c r="AC11" s="75">
        <v>22.48</v>
      </c>
      <c r="AD11" s="73">
        <v>586.25</v>
      </c>
      <c r="AE11" s="76">
        <v>230.08</v>
      </c>
      <c r="AF11" s="74">
        <v>515.82</v>
      </c>
      <c r="AG11" s="75">
        <v>743.69</v>
      </c>
      <c r="AH11" s="73"/>
      <c r="AI11" s="76">
        <v>369.33</v>
      </c>
      <c r="AJ11" s="74">
        <v>513.1</v>
      </c>
      <c r="AK11" s="75">
        <v>310.17</v>
      </c>
      <c r="AL11" s="73"/>
      <c r="AM11" s="76"/>
      <c r="AN11" s="861">
        <v>514</v>
      </c>
      <c r="AO11" s="862">
        <v>222</v>
      </c>
      <c r="AP11" s="856">
        <v>227.3</v>
      </c>
      <c r="AQ11" s="79">
        <v>188.42</v>
      </c>
      <c r="AR11" s="80">
        <v>18.27</v>
      </c>
      <c r="AS11" s="667">
        <v>7.22</v>
      </c>
      <c r="AT11" s="73">
        <v>130.94</v>
      </c>
      <c r="AU11" s="76">
        <v>129.61</v>
      </c>
      <c r="AV11" s="82">
        <f t="shared" si="0"/>
        <v>8287.130000000001</v>
      </c>
      <c r="AW11" s="868">
        <f t="shared" si="1"/>
        <v>7584.949999999999</v>
      </c>
      <c r="AX11" s="83">
        <v>1242.86</v>
      </c>
      <c r="AY11" s="81">
        <v>972.63</v>
      </c>
      <c r="AZ11" s="82">
        <f t="shared" si="2"/>
        <v>9529.990000000002</v>
      </c>
      <c r="BA11" s="240">
        <f t="shared" si="3"/>
        <v>8557.579999999998</v>
      </c>
    </row>
    <row r="12" spans="1:53" ht="17.25">
      <c r="A12" s="107" t="s">
        <v>16</v>
      </c>
      <c r="B12" s="71"/>
      <c r="C12" s="72"/>
      <c r="D12" s="73"/>
      <c r="E12" s="76"/>
      <c r="F12" s="74"/>
      <c r="G12" s="76"/>
      <c r="H12" s="74">
        <v>28</v>
      </c>
      <c r="I12" s="75"/>
      <c r="J12" s="73"/>
      <c r="K12" s="76"/>
      <c r="L12" s="74"/>
      <c r="M12" s="75"/>
      <c r="N12" s="73"/>
      <c r="O12" s="76"/>
      <c r="P12" s="77"/>
      <c r="Q12" s="78"/>
      <c r="R12" s="3">
        <v>12.8</v>
      </c>
      <c r="S12" s="4">
        <v>1.04</v>
      </c>
      <c r="T12" s="3"/>
      <c r="U12" s="224"/>
      <c r="V12" s="2"/>
      <c r="W12" s="4"/>
      <c r="X12" s="3"/>
      <c r="Y12" s="224"/>
      <c r="Z12" s="2"/>
      <c r="AA12" s="4"/>
      <c r="AB12" s="74"/>
      <c r="AC12" s="75"/>
      <c r="AD12" s="73">
        <v>0.62</v>
      </c>
      <c r="AE12" s="76">
        <v>3.6</v>
      </c>
      <c r="AF12" s="74"/>
      <c r="AG12" s="75"/>
      <c r="AH12" s="73"/>
      <c r="AI12" s="76"/>
      <c r="AJ12" s="74"/>
      <c r="AK12" s="75"/>
      <c r="AL12" s="73"/>
      <c r="AM12" s="76"/>
      <c r="AN12" s="861"/>
      <c r="AO12" s="862"/>
      <c r="AP12" s="856"/>
      <c r="AQ12" s="79"/>
      <c r="AR12" s="80"/>
      <c r="AS12" s="667"/>
      <c r="AT12" s="73"/>
      <c r="AU12" s="76"/>
      <c r="AV12" s="82">
        <f t="shared" si="0"/>
        <v>41.419999999999995</v>
      </c>
      <c r="AW12" s="868">
        <f t="shared" si="1"/>
        <v>4.640000000000001</v>
      </c>
      <c r="AX12" s="83"/>
      <c r="AY12" s="81"/>
      <c r="AZ12" s="82">
        <f t="shared" si="2"/>
        <v>41.419999999999995</v>
      </c>
      <c r="BA12" s="240">
        <f t="shared" si="3"/>
        <v>4.640000000000001</v>
      </c>
    </row>
    <row r="13" spans="1:53" ht="17.25">
      <c r="A13" s="107" t="s">
        <v>17</v>
      </c>
      <c r="B13" s="71"/>
      <c r="C13" s="72"/>
      <c r="D13" s="73">
        <v>0.03</v>
      </c>
      <c r="E13" s="76">
        <v>0.02</v>
      </c>
      <c r="F13" s="74"/>
      <c r="G13" s="76"/>
      <c r="H13" s="74"/>
      <c r="I13" s="75"/>
      <c r="J13" s="73"/>
      <c r="K13" s="76"/>
      <c r="L13" s="74"/>
      <c r="M13" s="75"/>
      <c r="N13" s="73"/>
      <c r="O13" s="76"/>
      <c r="P13" s="77"/>
      <c r="Q13" s="78"/>
      <c r="R13" s="3"/>
      <c r="S13" s="4"/>
      <c r="T13" s="3"/>
      <c r="U13" s="224"/>
      <c r="V13" s="2">
        <v>3.6</v>
      </c>
      <c r="W13" s="4">
        <v>3.72</v>
      </c>
      <c r="X13" s="3">
        <v>41</v>
      </c>
      <c r="Y13" s="224">
        <v>12.5</v>
      </c>
      <c r="Z13" s="2"/>
      <c r="AA13" s="4"/>
      <c r="AB13" s="74"/>
      <c r="AC13" s="75"/>
      <c r="AD13" s="73"/>
      <c r="AE13" s="76"/>
      <c r="AF13" s="74"/>
      <c r="AG13" s="75"/>
      <c r="AH13" s="73"/>
      <c r="AI13" s="76"/>
      <c r="AJ13" s="74"/>
      <c r="AK13" s="75"/>
      <c r="AL13" s="73"/>
      <c r="AM13" s="76"/>
      <c r="AN13" s="861"/>
      <c r="AO13" s="862"/>
      <c r="AP13" s="856"/>
      <c r="AQ13" s="79"/>
      <c r="AR13" s="80"/>
      <c r="AS13" s="667"/>
      <c r="AT13" s="73"/>
      <c r="AU13" s="76"/>
      <c r="AV13" s="82">
        <f t="shared" si="0"/>
        <v>44.63</v>
      </c>
      <c r="AW13" s="868">
        <f t="shared" si="1"/>
        <v>16.240000000000002</v>
      </c>
      <c r="AX13" s="83">
        <v>42.85</v>
      </c>
      <c r="AY13" s="81">
        <v>16.65</v>
      </c>
      <c r="AZ13" s="82">
        <f t="shared" si="2"/>
        <v>87.48</v>
      </c>
      <c r="BA13" s="240">
        <f t="shared" si="3"/>
        <v>32.89</v>
      </c>
    </row>
    <row r="14" spans="1:53" ht="17.25">
      <c r="A14" s="107" t="s">
        <v>237</v>
      </c>
      <c r="B14" s="71"/>
      <c r="C14" s="72"/>
      <c r="D14" s="73"/>
      <c r="E14" s="76"/>
      <c r="F14" s="74"/>
      <c r="G14" s="76"/>
      <c r="H14" s="74">
        <v>32</v>
      </c>
      <c r="I14" s="75">
        <v>169</v>
      </c>
      <c r="J14" s="73"/>
      <c r="K14" s="76"/>
      <c r="L14" s="74"/>
      <c r="M14" s="75"/>
      <c r="N14" s="73"/>
      <c r="O14" s="76"/>
      <c r="P14" s="77"/>
      <c r="Q14" s="78"/>
      <c r="R14" s="3"/>
      <c r="S14" s="4"/>
      <c r="T14" s="3"/>
      <c r="U14" s="224"/>
      <c r="V14" s="2"/>
      <c r="W14" s="4"/>
      <c r="X14" s="3">
        <v>138</v>
      </c>
      <c r="Y14" s="224">
        <v>92.7</v>
      </c>
      <c r="Z14" s="2"/>
      <c r="AA14" s="4"/>
      <c r="AB14" s="74"/>
      <c r="AC14" s="75"/>
      <c r="AD14" s="73"/>
      <c r="AE14" s="76"/>
      <c r="AF14" s="74"/>
      <c r="AG14" s="75"/>
      <c r="AH14" s="73"/>
      <c r="AI14" s="76"/>
      <c r="AJ14" s="74"/>
      <c r="AK14" s="75"/>
      <c r="AL14" s="73"/>
      <c r="AM14" s="76"/>
      <c r="AN14" s="861"/>
      <c r="AO14" s="862"/>
      <c r="AP14" s="856"/>
      <c r="AQ14" s="79"/>
      <c r="AR14" s="80"/>
      <c r="AS14" s="667"/>
      <c r="AT14" s="73"/>
      <c r="AU14" s="76"/>
      <c r="AV14" s="82">
        <f t="shared" si="0"/>
        <v>170</v>
      </c>
      <c r="AW14" s="868">
        <f t="shared" si="1"/>
        <v>261.7</v>
      </c>
      <c r="AX14" s="83"/>
      <c r="AY14" s="81"/>
      <c r="AZ14" s="82">
        <f t="shared" si="2"/>
        <v>170</v>
      </c>
      <c r="BA14" s="240">
        <f t="shared" si="3"/>
        <v>261.7</v>
      </c>
    </row>
    <row r="15" spans="1:53" ht="18" thickBot="1">
      <c r="A15" s="241" t="s">
        <v>19</v>
      </c>
      <c r="B15" s="262"/>
      <c r="C15" s="263"/>
      <c r="D15" s="242"/>
      <c r="E15" s="245"/>
      <c r="F15" s="243"/>
      <c r="G15" s="245"/>
      <c r="H15" s="243">
        <v>157</v>
      </c>
      <c r="I15" s="244">
        <v>46</v>
      </c>
      <c r="J15" s="242">
        <v>1</v>
      </c>
      <c r="K15" s="245"/>
      <c r="L15" s="243"/>
      <c r="M15" s="244"/>
      <c r="N15" s="242"/>
      <c r="O15" s="245"/>
      <c r="P15" s="265">
        <v>4.04</v>
      </c>
      <c r="Q15" s="266">
        <v>1.79</v>
      </c>
      <c r="R15" s="267"/>
      <c r="S15" s="268"/>
      <c r="T15" s="267">
        <v>0.1</v>
      </c>
      <c r="U15" s="662">
        <v>0.29</v>
      </c>
      <c r="V15" s="264">
        <v>53.77</v>
      </c>
      <c r="W15" s="268">
        <v>87.95</v>
      </c>
      <c r="X15" s="267">
        <v>55</v>
      </c>
      <c r="Y15" s="662">
        <v>60.6</v>
      </c>
      <c r="Z15" s="264"/>
      <c r="AA15" s="268"/>
      <c r="AB15" s="243"/>
      <c r="AC15" s="244"/>
      <c r="AD15" s="242"/>
      <c r="AE15" s="245"/>
      <c r="AF15" s="243"/>
      <c r="AG15" s="244"/>
      <c r="AH15" s="242"/>
      <c r="AI15" s="245">
        <v>1.58</v>
      </c>
      <c r="AJ15" s="243">
        <v>0.18</v>
      </c>
      <c r="AK15" s="244">
        <v>0.13</v>
      </c>
      <c r="AL15" s="242"/>
      <c r="AM15" s="245"/>
      <c r="AN15" s="865"/>
      <c r="AO15" s="866"/>
      <c r="AP15" s="857">
        <v>0.41</v>
      </c>
      <c r="AQ15" s="246"/>
      <c r="AR15" s="247"/>
      <c r="AS15" s="668"/>
      <c r="AT15" s="242">
        <v>87.68</v>
      </c>
      <c r="AU15" s="245">
        <v>64.91</v>
      </c>
      <c r="AV15" s="249">
        <f t="shared" si="0"/>
        <v>359.18</v>
      </c>
      <c r="AW15" s="869">
        <f t="shared" si="1"/>
        <v>263.25</v>
      </c>
      <c r="AX15" s="250"/>
      <c r="AY15" s="248"/>
      <c r="AZ15" s="249">
        <f t="shared" si="2"/>
        <v>359.18</v>
      </c>
      <c r="BA15" s="251">
        <f t="shared" si="3"/>
        <v>263.25</v>
      </c>
    </row>
    <row r="16" spans="1:53" s="467" customFormat="1" ht="18.75" thickBot="1">
      <c r="A16" s="459" t="s">
        <v>20</v>
      </c>
      <c r="B16" s="460">
        <f aca="true" t="shared" si="4" ref="B16:AG16">SUM(B5:B15)</f>
        <v>2076</v>
      </c>
      <c r="C16" s="461">
        <f t="shared" si="4"/>
        <v>1803</v>
      </c>
      <c r="D16" s="462">
        <f t="shared" si="4"/>
        <v>35.11</v>
      </c>
      <c r="E16" s="463">
        <f t="shared" si="4"/>
        <v>73.2</v>
      </c>
      <c r="F16" s="460">
        <f t="shared" si="4"/>
        <v>160.9</v>
      </c>
      <c r="G16" s="463">
        <f t="shared" si="4"/>
        <v>123.91000000000001</v>
      </c>
      <c r="H16" s="460">
        <f t="shared" si="4"/>
        <v>2530</v>
      </c>
      <c r="I16" s="461">
        <f t="shared" si="4"/>
        <v>1999</v>
      </c>
      <c r="J16" s="462">
        <f t="shared" si="4"/>
        <v>646.96</v>
      </c>
      <c r="K16" s="463">
        <f t="shared" si="4"/>
        <v>634</v>
      </c>
      <c r="L16" s="460">
        <f t="shared" si="4"/>
        <v>1428.0700000000002</v>
      </c>
      <c r="M16" s="461">
        <f t="shared" si="4"/>
        <v>1092.72</v>
      </c>
      <c r="N16" s="462">
        <f t="shared" si="4"/>
        <v>114.53999999999999</v>
      </c>
      <c r="O16" s="463">
        <f t="shared" si="4"/>
        <v>165.39</v>
      </c>
      <c r="P16" s="460">
        <f t="shared" si="4"/>
        <v>410.63000000000005</v>
      </c>
      <c r="Q16" s="463">
        <f t="shared" si="4"/>
        <v>331.11</v>
      </c>
      <c r="R16" s="460">
        <f t="shared" si="4"/>
        <v>665.4799999999999</v>
      </c>
      <c r="S16" s="463">
        <f t="shared" si="4"/>
        <v>754.93</v>
      </c>
      <c r="T16" s="460">
        <f t="shared" si="4"/>
        <v>355.93</v>
      </c>
      <c r="U16" s="461">
        <f t="shared" si="4"/>
        <v>371.82</v>
      </c>
      <c r="V16" s="462">
        <f t="shared" si="4"/>
        <v>10075.15</v>
      </c>
      <c r="W16" s="463">
        <f t="shared" si="4"/>
        <v>8463.39</v>
      </c>
      <c r="X16" s="460">
        <f t="shared" si="4"/>
        <v>7848</v>
      </c>
      <c r="Y16" s="461">
        <f t="shared" si="4"/>
        <v>7874.2</v>
      </c>
      <c r="Z16" s="462">
        <f t="shared" si="4"/>
        <v>504.42</v>
      </c>
      <c r="AA16" s="463">
        <f t="shared" si="4"/>
        <v>407</v>
      </c>
      <c r="AB16" s="460">
        <f t="shared" si="4"/>
        <v>923.99</v>
      </c>
      <c r="AC16" s="461">
        <f t="shared" si="4"/>
        <v>867.7000000000002</v>
      </c>
      <c r="AD16" s="462">
        <f t="shared" si="4"/>
        <v>2943.64</v>
      </c>
      <c r="AE16" s="463">
        <f t="shared" si="4"/>
        <v>2398.03</v>
      </c>
      <c r="AF16" s="460">
        <f t="shared" si="4"/>
        <v>6227.63</v>
      </c>
      <c r="AG16" s="461">
        <f t="shared" si="4"/>
        <v>5130.889999999999</v>
      </c>
      <c r="AH16" s="462">
        <f aca="true" t="shared" si="5" ref="AH16:AU16">SUM(AH5:AH15)</f>
        <v>0</v>
      </c>
      <c r="AI16" s="463">
        <f t="shared" si="5"/>
        <v>1309.8799999999999</v>
      </c>
      <c r="AJ16" s="460">
        <f t="shared" si="5"/>
        <v>956.54</v>
      </c>
      <c r="AK16" s="461">
        <f t="shared" si="5"/>
        <v>941.2600000000001</v>
      </c>
      <c r="AL16" s="462">
        <f t="shared" si="5"/>
        <v>0</v>
      </c>
      <c r="AM16" s="463">
        <f t="shared" si="5"/>
        <v>0</v>
      </c>
      <c r="AN16" s="462">
        <f t="shared" si="5"/>
        <v>12499</v>
      </c>
      <c r="AO16" s="463">
        <f t="shared" si="5"/>
        <v>11245</v>
      </c>
      <c r="AP16" s="460">
        <f t="shared" si="5"/>
        <v>562.68</v>
      </c>
      <c r="AQ16" s="463">
        <f t="shared" si="5"/>
        <v>485.8499999999999</v>
      </c>
      <c r="AR16" s="460">
        <f t="shared" si="5"/>
        <v>882.25</v>
      </c>
      <c r="AS16" s="461">
        <f t="shared" si="5"/>
        <v>643.2252</v>
      </c>
      <c r="AT16" s="462">
        <f t="shared" si="5"/>
        <v>3953.7599999999998</v>
      </c>
      <c r="AU16" s="463">
        <f t="shared" si="5"/>
        <v>3081.2699999999995</v>
      </c>
      <c r="AV16" s="464">
        <f t="shared" si="0"/>
        <v>55800.68</v>
      </c>
      <c r="AW16" s="870">
        <f t="shared" si="1"/>
        <v>50196.7752</v>
      </c>
      <c r="AX16" s="465">
        <f>SUM(AX5:AX15)</f>
        <v>56406.5</v>
      </c>
      <c r="AY16" s="873">
        <f>SUM(AY5:AY15)</f>
        <v>51429.71</v>
      </c>
      <c r="AZ16" s="464">
        <f t="shared" si="2"/>
        <v>112207.18</v>
      </c>
      <c r="BA16" s="466">
        <f t="shared" si="3"/>
        <v>101626.4852</v>
      </c>
    </row>
    <row r="17" spans="1:53" ht="18" thickBot="1">
      <c r="A17" s="269" t="s">
        <v>11</v>
      </c>
      <c r="B17" s="270"/>
      <c r="C17" s="271"/>
      <c r="D17" s="252"/>
      <c r="E17" s="255"/>
      <c r="F17" s="253">
        <v>0.04</v>
      </c>
      <c r="G17" s="255">
        <v>-0.31</v>
      </c>
      <c r="H17" s="253"/>
      <c r="I17" s="254"/>
      <c r="J17" s="252"/>
      <c r="K17" s="255"/>
      <c r="L17" s="253"/>
      <c r="M17" s="254"/>
      <c r="N17" s="252"/>
      <c r="O17" s="255">
        <v>0.5</v>
      </c>
      <c r="P17" s="273"/>
      <c r="Q17" s="274"/>
      <c r="R17" s="275">
        <v>9.33</v>
      </c>
      <c r="S17" s="276">
        <v>18.42</v>
      </c>
      <c r="T17" s="275"/>
      <c r="U17" s="663"/>
      <c r="V17" s="272"/>
      <c r="W17" s="276"/>
      <c r="X17" s="275"/>
      <c r="Y17" s="663"/>
      <c r="Z17" s="272"/>
      <c r="AA17" s="276"/>
      <c r="AB17" s="253"/>
      <c r="AC17" s="254"/>
      <c r="AD17" s="252">
        <v>0.95</v>
      </c>
      <c r="AE17" s="255">
        <v>0.69</v>
      </c>
      <c r="AF17" s="253"/>
      <c r="AG17" s="254"/>
      <c r="AH17" s="252"/>
      <c r="AI17" s="255">
        <v>-0.001</v>
      </c>
      <c r="AJ17" s="253"/>
      <c r="AK17" s="254"/>
      <c r="AL17" s="252"/>
      <c r="AM17" s="255"/>
      <c r="AN17" s="433"/>
      <c r="AO17" s="277"/>
      <c r="AP17" s="858"/>
      <c r="AQ17" s="256"/>
      <c r="AR17" s="257"/>
      <c r="AS17" s="669"/>
      <c r="AT17" s="252"/>
      <c r="AU17" s="255"/>
      <c r="AV17" s="259">
        <f t="shared" si="0"/>
        <v>10.319999999999999</v>
      </c>
      <c r="AW17" s="871">
        <f t="shared" si="1"/>
        <v>19.299000000000003</v>
      </c>
      <c r="AX17" s="260"/>
      <c r="AY17" s="258"/>
      <c r="AZ17" s="259">
        <f t="shared" si="2"/>
        <v>10.319999999999999</v>
      </c>
      <c r="BA17" s="261">
        <f t="shared" si="3"/>
        <v>19.299000000000003</v>
      </c>
    </row>
    <row r="18" spans="1:53" s="467" customFormat="1" ht="18.75" thickBot="1">
      <c r="A18" s="468" t="s">
        <v>12</v>
      </c>
      <c r="B18" s="469">
        <f aca="true" t="shared" si="6" ref="B18:AG18">B16+B17</f>
        <v>2076</v>
      </c>
      <c r="C18" s="470">
        <f t="shared" si="6"/>
        <v>1803</v>
      </c>
      <c r="D18" s="471">
        <f t="shared" si="6"/>
        <v>35.11</v>
      </c>
      <c r="E18" s="472">
        <f t="shared" si="6"/>
        <v>73.2</v>
      </c>
      <c r="F18" s="469">
        <f t="shared" si="6"/>
        <v>160.94</v>
      </c>
      <c r="G18" s="472">
        <f t="shared" si="6"/>
        <v>123.60000000000001</v>
      </c>
      <c r="H18" s="469">
        <f t="shared" si="6"/>
        <v>2530</v>
      </c>
      <c r="I18" s="470">
        <f t="shared" si="6"/>
        <v>1999</v>
      </c>
      <c r="J18" s="471">
        <f t="shared" si="6"/>
        <v>646.96</v>
      </c>
      <c r="K18" s="472">
        <f t="shared" si="6"/>
        <v>634</v>
      </c>
      <c r="L18" s="469">
        <f t="shared" si="6"/>
        <v>1428.0700000000002</v>
      </c>
      <c r="M18" s="470">
        <f t="shared" si="6"/>
        <v>1092.72</v>
      </c>
      <c r="N18" s="471">
        <f t="shared" si="6"/>
        <v>114.53999999999999</v>
      </c>
      <c r="O18" s="472">
        <f t="shared" si="6"/>
        <v>165.89</v>
      </c>
      <c r="P18" s="469">
        <f t="shared" si="6"/>
        <v>410.63000000000005</v>
      </c>
      <c r="Q18" s="472">
        <f t="shared" si="6"/>
        <v>331.11</v>
      </c>
      <c r="R18" s="469">
        <f t="shared" si="6"/>
        <v>674.81</v>
      </c>
      <c r="S18" s="472">
        <f t="shared" si="6"/>
        <v>773.3499999999999</v>
      </c>
      <c r="T18" s="469">
        <f t="shared" si="6"/>
        <v>355.93</v>
      </c>
      <c r="U18" s="470">
        <f t="shared" si="6"/>
        <v>371.82</v>
      </c>
      <c r="V18" s="471">
        <f t="shared" si="6"/>
        <v>10075.15</v>
      </c>
      <c r="W18" s="472">
        <f t="shared" si="6"/>
        <v>8463.39</v>
      </c>
      <c r="X18" s="469">
        <f t="shared" si="6"/>
        <v>7848</v>
      </c>
      <c r="Y18" s="470">
        <f t="shared" si="6"/>
        <v>7874.2</v>
      </c>
      <c r="Z18" s="471">
        <f t="shared" si="6"/>
        <v>504.42</v>
      </c>
      <c r="AA18" s="472">
        <f t="shared" si="6"/>
        <v>407</v>
      </c>
      <c r="AB18" s="469">
        <f t="shared" si="6"/>
        <v>923.99</v>
      </c>
      <c r="AC18" s="470">
        <f t="shared" si="6"/>
        <v>867.7000000000002</v>
      </c>
      <c r="AD18" s="471">
        <f t="shared" si="6"/>
        <v>2944.5899999999997</v>
      </c>
      <c r="AE18" s="472">
        <f t="shared" si="6"/>
        <v>2398.7200000000003</v>
      </c>
      <c r="AF18" s="469">
        <f t="shared" si="6"/>
        <v>6227.63</v>
      </c>
      <c r="AG18" s="470">
        <f t="shared" si="6"/>
        <v>5130.889999999999</v>
      </c>
      <c r="AH18" s="471">
        <f aca="true" t="shared" si="7" ref="AH18:AU18">AH16+AH17</f>
        <v>0</v>
      </c>
      <c r="AI18" s="472">
        <f t="shared" si="7"/>
        <v>1309.879</v>
      </c>
      <c r="AJ18" s="469">
        <f t="shared" si="7"/>
        <v>956.54</v>
      </c>
      <c r="AK18" s="470">
        <f t="shared" si="7"/>
        <v>941.2600000000001</v>
      </c>
      <c r="AL18" s="471">
        <f t="shared" si="7"/>
        <v>0</v>
      </c>
      <c r="AM18" s="472">
        <f t="shared" si="7"/>
        <v>0</v>
      </c>
      <c r="AN18" s="471">
        <f t="shared" si="7"/>
        <v>12499</v>
      </c>
      <c r="AO18" s="472">
        <f t="shared" si="7"/>
        <v>11245</v>
      </c>
      <c r="AP18" s="469">
        <f t="shared" si="7"/>
        <v>562.68</v>
      </c>
      <c r="AQ18" s="472">
        <f t="shared" si="7"/>
        <v>485.8499999999999</v>
      </c>
      <c r="AR18" s="469">
        <f t="shared" si="7"/>
        <v>882.25</v>
      </c>
      <c r="AS18" s="470">
        <f t="shared" si="7"/>
        <v>643.2252</v>
      </c>
      <c r="AT18" s="471">
        <f t="shared" si="7"/>
        <v>3953.7599999999998</v>
      </c>
      <c r="AU18" s="472">
        <f t="shared" si="7"/>
        <v>3081.2699999999995</v>
      </c>
      <c r="AV18" s="473">
        <f t="shared" si="0"/>
        <v>55811</v>
      </c>
      <c r="AW18" s="872">
        <f t="shared" si="1"/>
        <v>50216.074199999995</v>
      </c>
      <c r="AX18" s="474">
        <f>AX16+AX17</f>
        <v>56406.5</v>
      </c>
      <c r="AY18" s="475">
        <f>AY16+AY17</f>
        <v>51429.71</v>
      </c>
      <c r="AZ18" s="473">
        <f t="shared" si="2"/>
        <v>112217.5</v>
      </c>
      <c r="BA18" s="475">
        <f t="shared" si="3"/>
        <v>101645.7842</v>
      </c>
    </row>
    <row r="19" spans="46:47" ht="16.5">
      <c r="AT19" s="92"/>
      <c r="AU19" s="92"/>
    </row>
  </sheetData>
  <sheetProtection/>
  <mergeCells count="26">
    <mergeCell ref="B3:C3"/>
    <mergeCell ref="F3:G3"/>
    <mergeCell ref="H3:I3"/>
    <mergeCell ref="J3:K3"/>
    <mergeCell ref="L3:M3"/>
    <mergeCell ref="T3:U3"/>
    <mergeCell ref="R3:S3"/>
    <mergeCell ref="P3:Q3"/>
    <mergeCell ref="N3:O3"/>
    <mergeCell ref="D3:E3"/>
    <mergeCell ref="AZ3:BA3"/>
    <mergeCell ref="AV3:AW3"/>
    <mergeCell ref="AX3:AY3"/>
    <mergeCell ref="AH3:AI3"/>
    <mergeCell ref="AJ3:AK3"/>
    <mergeCell ref="AL3:AM3"/>
    <mergeCell ref="AN3:AO3"/>
    <mergeCell ref="AP3:AQ3"/>
    <mergeCell ref="AR3:AS3"/>
    <mergeCell ref="AT3:AU3"/>
    <mergeCell ref="X3:Y3"/>
    <mergeCell ref="Z3:AA3"/>
    <mergeCell ref="AF3:AG3"/>
    <mergeCell ref="V3:W3"/>
    <mergeCell ref="AB3:AC3"/>
    <mergeCell ref="AD3:AE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/>
  </sheetPr>
  <dimension ref="A1:BB1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C4" sqref="BC4"/>
    </sheetView>
  </sheetViews>
  <sheetFormatPr defaultColWidth="9.140625" defaultRowHeight="15"/>
  <cols>
    <col min="1" max="1" width="55.140625" style="11" customWidth="1"/>
    <col min="2" max="25" width="12.421875" style="11" bestFit="1" customWidth="1"/>
    <col min="26" max="27" width="12.421875" style="41" bestFit="1" customWidth="1"/>
    <col min="28" max="53" width="12.421875" style="11" bestFit="1" customWidth="1"/>
    <col min="54" max="54" width="9.57421875" style="11" bestFit="1" customWidth="1"/>
    <col min="55" max="16384" width="9.140625" style="11" customWidth="1"/>
  </cols>
  <sheetData>
    <row r="1" spans="1:53" ht="28.5" customHeight="1">
      <c r="A1" s="1789" t="s">
        <v>162</v>
      </c>
      <c r="B1" s="1789"/>
      <c r="C1" s="1789"/>
      <c r="D1" s="1789"/>
      <c r="E1" s="1789"/>
      <c r="F1" s="1789"/>
      <c r="G1" s="1789"/>
      <c r="H1" s="1789"/>
      <c r="I1" s="1789"/>
      <c r="J1" s="1789"/>
      <c r="K1" s="1789"/>
      <c r="L1" s="1789"/>
      <c r="M1" s="1789"/>
      <c r="N1" s="1789"/>
      <c r="O1" s="1789"/>
      <c r="P1" s="1789"/>
      <c r="Q1" s="1789"/>
      <c r="R1" s="1789"/>
      <c r="S1" s="1789"/>
      <c r="T1" s="1789"/>
      <c r="U1" s="1789"/>
      <c r="V1" s="1789"/>
      <c r="W1" s="1789"/>
      <c r="X1" s="1789"/>
      <c r="Y1" s="1789"/>
      <c r="Z1" s="1789"/>
      <c r="AA1" s="1789"/>
      <c r="AB1" s="1789"/>
      <c r="AC1" s="1789"/>
      <c r="AD1" s="1789"/>
      <c r="AE1" s="1789"/>
      <c r="AF1" s="1789"/>
      <c r="AG1" s="1789"/>
      <c r="AH1" s="1789"/>
      <c r="AI1" s="1789"/>
      <c r="AJ1" s="1789"/>
      <c r="AK1" s="1789"/>
      <c r="AL1" s="1789"/>
      <c r="AM1" s="1789"/>
      <c r="AN1" s="1789"/>
      <c r="AO1" s="1789"/>
      <c r="AP1" s="1789"/>
      <c r="AQ1" s="1789"/>
      <c r="AR1" s="1789"/>
      <c r="AS1" s="1789"/>
      <c r="AT1" s="1789"/>
      <c r="AU1" s="1789"/>
      <c r="AV1" s="1789"/>
      <c r="AW1" s="1789"/>
      <c r="AX1" s="1789"/>
      <c r="AY1" s="1789"/>
      <c r="AZ1" s="46"/>
      <c r="BA1" s="46"/>
    </row>
    <row r="2" spans="1:53" ht="15" thickBot="1">
      <c r="A2" s="1653"/>
      <c r="B2" s="1653"/>
      <c r="C2" s="1653"/>
      <c r="D2" s="1653"/>
      <c r="E2" s="1653"/>
      <c r="F2" s="1653"/>
      <c r="G2" s="1653"/>
      <c r="H2" s="1653"/>
      <c r="I2" s="1653"/>
      <c r="J2" s="1653"/>
      <c r="K2" s="1653"/>
      <c r="L2" s="1653"/>
      <c r="M2" s="1653"/>
      <c r="N2" s="1653"/>
      <c r="O2" s="1653"/>
      <c r="P2" s="1653"/>
      <c r="Q2" s="1653"/>
      <c r="R2" s="1653"/>
      <c r="S2" s="1653"/>
      <c r="T2" s="1653"/>
      <c r="U2" s="1653"/>
      <c r="V2" s="1653"/>
      <c r="W2" s="1653"/>
      <c r="X2" s="1653"/>
      <c r="Y2" s="1653"/>
      <c r="Z2" s="1653"/>
      <c r="AA2" s="1653"/>
      <c r="AB2" s="1653"/>
      <c r="AC2" s="1653"/>
      <c r="AD2" s="1653"/>
      <c r="AE2" s="1653"/>
      <c r="AF2" s="1653"/>
      <c r="AG2" s="1653"/>
      <c r="AH2" s="1653"/>
      <c r="AI2" s="1653"/>
      <c r="AJ2" s="1653"/>
      <c r="AK2" s="1653"/>
      <c r="AL2" s="1653"/>
      <c r="AM2" s="1653"/>
      <c r="AN2" s="1653"/>
      <c r="AO2" s="1653"/>
      <c r="AP2" s="1653"/>
      <c r="AQ2" s="1653"/>
      <c r="AR2" s="1653"/>
      <c r="AS2" s="1653"/>
      <c r="AT2" s="1653"/>
      <c r="AU2" s="1653"/>
      <c r="AV2" s="1653"/>
      <c r="AW2" s="1653"/>
      <c r="AX2" s="1653"/>
      <c r="AY2" s="1653"/>
      <c r="AZ2" s="47"/>
      <c r="BA2" s="47"/>
    </row>
    <row r="3" spans="1:53" s="825" customFormat="1" ht="46.5" customHeight="1" thickBot="1">
      <c r="A3" s="1790" t="s">
        <v>14</v>
      </c>
      <c r="B3" s="1659" t="s">
        <v>163</v>
      </c>
      <c r="C3" s="1657"/>
      <c r="D3" s="1660" t="s">
        <v>164</v>
      </c>
      <c r="E3" s="1661"/>
      <c r="F3" s="1660" t="s">
        <v>165</v>
      </c>
      <c r="G3" s="1661"/>
      <c r="H3" s="1660" t="s">
        <v>166</v>
      </c>
      <c r="I3" s="1661"/>
      <c r="J3" s="1659" t="s">
        <v>167</v>
      </c>
      <c r="K3" s="1657"/>
      <c r="L3" s="1659" t="s">
        <v>168</v>
      </c>
      <c r="M3" s="1657"/>
      <c r="N3" s="1659" t="s">
        <v>446</v>
      </c>
      <c r="O3" s="1657"/>
      <c r="P3" s="1659" t="s">
        <v>169</v>
      </c>
      <c r="Q3" s="1657"/>
      <c r="R3" s="1659" t="s">
        <v>170</v>
      </c>
      <c r="S3" s="1657"/>
      <c r="T3" s="1660" t="s">
        <v>171</v>
      </c>
      <c r="U3" s="1661"/>
      <c r="V3" s="1660" t="s">
        <v>172</v>
      </c>
      <c r="W3" s="1661"/>
      <c r="X3" s="1660" t="s">
        <v>173</v>
      </c>
      <c r="Y3" s="1661"/>
      <c r="Z3" s="1606" t="s">
        <v>526</v>
      </c>
      <c r="AA3" s="1607"/>
      <c r="AB3" s="1660" t="s">
        <v>174</v>
      </c>
      <c r="AC3" s="1661"/>
      <c r="AD3" s="1786" t="s">
        <v>175</v>
      </c>
      <c r="AE3" s="1787"/>
      <c r="AF3" s="1660" t="s">
        <v>176</v>
      </c>
      <c r="AG3" s="1661"/>
      <c r="AH3" s="1660" t="s">
        <v>177</v>
      </c>
      <c r="AI3" s="1661"/>
      <c r="AJ3" s="1660" t="s">
        <v>178</v>
      </c>
      <c r="AK3" s="1788"/>
      <c r="AL3" s="1786" t="s">
        <v>179</v>
      </c>
      <c r="AM3" s="1787"/>
      <c r="AN3" s="1660" t="s">
        <v>180</v>
      </c>
      <c r="AO3" s="1661"/>
      <c r="AP3" s="1660" t="s">
        <v>181</v>
      </c>
      <c r="AQ3" s="1661"/>
      <c r="AR3" s="1660" t="s">
        <v>182</v>
      </c>
      <c r="AS3" s="1661"/>
      <c r="AT3" s="1660" t="s">
        <v>183</v>
      </c>
      <c r="AU3" s="1661"/>
      <c r="AV3" s="1660" t="s">
        <v>1</v>
      </c>
      <c r="AW3" s="1661"/>
      <c r="AX3" s="1786" t="s">
        <v>184</v>
      </c>
      <c r="AY3" s="1787"/>
      <c r="AZ3" s="1786" t="s">
        <v>2</v>
      </c>
      <c r="BA3" s="1787"/>
    </row>
    <row r="4" spans="1:53" ht="15" thickBot="1">
      <c r="A4" s="1791"/>
      <c r="B4" s="1250" t="s">
        <v>520</v>
      </c>
      <c r="C4" s="1251" t="s">
        <v>378</v>
      </c>
      <c r="D4" s="1252" t="s">
        <v>520</v>
      </c>
      <c r="E4" s="1251" t="s">
        <v>378</v>
      </c>
      <c r="F4" s="1252" t="s">
        <v>520</v>
      </c>
      <c r="G4" s="1251" t="s">
        <v>378</v>
      </c>
      <c r="H4" s="1252" t="s">
        <v>520</v>
      </c>
      <c r="I4" s="1251" t="s">
        <v>378</v>
      </c>
      <c r="J4" s="1252" t="s">
        <v>520</v>
      </c>
      <c r="K4" s="1251" t="s">
        <v>378</v>
      </c>
      <c r="L4" s="1252" t="s">
        <v>520</v>
      </c>
      <c r="M4" s="1251" t="s">
        <v>378</v>
      </c>
      <c r="N4" s="1252" t="s">
        <v>520</v>
      </c>
      <c r="O4" s="1251" t="s">
        <v>378</v>
      </c>
      <c r="P4" s="1252" t="s">
        <v>520</v>
      </c>
      <c r="Q4" s="1251" t="s">
        <v>378</v>
      </c>
      <c r="R4" s="1252" t="s">
        <v>520</v>
      </c>
      <c r="S4" s="1251" t="s">
        <v>378</v>
      </c>
      <c r="T4" s="1252" t="s">
        <v>520</v>
      </c>
      <c r="U4" s="1251" t="s">
        <v>378</v>
      </c>
      <c r="V4" s="1252" t="s">
        <v>520</v>
      </c>
      <c r="W4" s="1251" t="s">
        <v>378</v>
      </c>
      <c r="X4" s="1252" t="s">
        <v>520</v>
      </c>
      <c r="Y4" s="1251" t="s">
        <v>378</v>
      </c>
      <c r="Z4" s="1252" t="s">
        <v>520</v>
      </c>
      <c r="AA4" s="1251" t="s">
        <v>378</v>
      </c>
      <c r="AB4" s="1252" t="s">
        <v>520</v>
      </c>
      <c r="AC4" s="1251" t="s">
        <v>378</v>
      </c>
      <c r="AD4" s="1252" t="s">
        <v>520</v>
      </c>
      <c r="AE4" s="1251" t="s">
        <v>378</v>
      </c>
      <c r="AF4" s="1252" t="s">
        <v>520</v>
      </c>
      <c r="AG4" s="1251" t="s">
        <v>378</v>
      </c>
      <c r="AH4" s="1252" t="s">
        <v>520</v>
      </c>
      <c r="AI4" s="1251" t="s">
        <v>378</v>
      </c>
      <c r="AJ4" s="1252" t="s">
        <v>520</v>
      </c>
      <c r="AK4" s="1251" t="s">
        <v>378</v>
      </c>
      <c r="AL4" s="1252" t="s">
        <v>520</v>
      </c>
      <c r="AM4" s="1251" t="s">
        <v>378</v>
      </c>
      <c r="AN4" s="1252" t="s">
        <v>520</v>
      </c>
      <c r="AO4" s="1251" t="s">
        <v>378</v>
      </c>
      <c r="AP4" s="1252" t="s">
        <v>520</v>
      </c>
      <c r="AQ4" s="1251" t="s">
        <v>378</v>
      </c>
      <c r="AR4" s="1252" t="s">
        <v>520</v>
      </c>
      <c r="AS4" s="1251" t="s">
        <v>378</v>
      </c>
      <c r="AT4" s="1252" t="s">
        <v>520</v>
      </c>
      <c r="AU4" s="1251" t="s">
        <v>378</v>
      </c>
      <c r="AV4" s="1252" t="s">
        <v>520</v>
      </c>
      <c r="AW4" s="1251" t="s">
        <v>378</v>
      </c>
      <c r="AX4" s="1252" t="s">
        <v>520</v>
      </c>
      <c r="AY4" s="1251" t="s">
        <v>378</v>
      </c>
      <c r="AZ4" s="1252" t="s">
        <v>520</v>
      </c>
      <c r="BA4" s="1251" t="s">
        <v>378</v>
      </c>
    </row>
    <row r="5" spans="1:54" ht="15">
      <c r="A5" s="48" t="s">
        <v>3</v>
      </c>
      <c r="B5" s="1255">
        <v>119617</v>
      </c>
      <c r="C5" s="49">
        <v>139065</v>
      </c>
      <c r="D5" s="51">
        <v>10</v>
      </c>
      <c r="E5" s="52">
        <v>5</v>
      </c>
      <c r="F5" s="51">
        <v>5352</v>
      </c>
      <c r="G5" s="52">
        <v>6572</v>
      </c>
      <c r="H5" s="51">
        <v>135111</v>
      </c>
      <c r="I5" s="52">
        <v>126017</v>
      </c>
      <c r="J5" s="51">
        <v>53186</v>
      </c>
      <c r="K5" s="52">
        <v>57815</v>
      </c>
      <c r="L5" s="45">
        <v>1742</v>
      </c>
      <c r="M5" s="52">
        <v>367</v>
      </c>
      <c r="N5" s="51">
        <v>11244</v>
      </c>
      <c r="O5" s="52">
        <v>14367</v>
      </c>
      <c r="P5" s="51">
        <v>39519</v>
      </c>
      <c r="Q5" s="52">
        <v>41147</v>
      </c>
      <c r="R5" s="51">
        <v>72002</v>
      </c>
      <c r="S5" s="52">
        <v>83272</v>
      </c>
      <c r="T5" s="51">
        <v>3718</v>
      </c>
      <c r="U5" s="52">
        <v>6181</v>
      </c>
      <c r="V5" s="51">
        <v>145494</v>
      </c>
      <c r="W5" s="52">
        <v>145075</v>
      </c>
      <c r="X5" s="51">
        <v>161403</v>
      </c>
      <c r="Y5" s="52">
        <v>169190</v>
      </c>
      <c r="Z5" s="44">
        <v>4290</v>
      </c>
      <c r="AA5" s="54">
        <v>4377</v>
      </c>
      <c r="AB5" s="51">
        <v>5530</v>
      </c>
      <c r="AC5" s="52">
        <v>6796</v>
      </c>
      <c r="AD5" s="51">
        <v>90558</v>
      </c>
      <c r="AE5" s="52">
        <v>151522</v>
      </c>
      <c r="AF5" s="51">
        <v>133763</v>
      </c>
      <c r="AG5" s="52">
        <v>147935</v>
      </c>
      <c r="AH5" s="51"/>
      <c r="AI5" s="52">
        <v>8310</v>
      </c>
      <c r="AJ5" s="189">
        <v>63581</v>
      </c>
      <c r="AK5" s="376">
        <v>101858</v>
      </c>
      <c r="AL5" s="368"/>
      <c r="AM5" s="299"/>
      <c r="AN5" s="373">
        <v>582399</v>
      </c>
      <c r="AO5" s="374">
        <v>573167</v>
      </c>
      <c r="AP5" s="55">
        <v>5167</v>
      </c>
      <c r="AQ5" s="56">
        <v>5688</v>
      </c>
      <c r="AR5" s="57">
        <v>-11</v>
      </c>
      <c r="AS5" s="58">
        <v>30</v>
      </c>
      <c r="AT5" s="51">
        <v>133320</v>
      </c>
      <c r="AU5" s="52">
        <v>132321</v>
      </c>
      <c r="AV5" s="42">
        <f aca="true" t="shared" si="0" ref="AV5:AV18">SUM(B5+D5+F5+H5+J5+L5+N5+P5+R5+T5+V5+X5+Z5+AB5+AD5+AF5+AH5+AJ5+AL5+AN5+AP5+AR5+AT5)</f>
        <v>1766995</v>
      </c>
      <c r="AW5" s="215">
        <f aca="true" t="shared" si="1" ref="AW5:AW18">SUM(C5+E5+G5+I5+K5+M5+O5+Q5+S5+U5+W5+Y5+AA5+AC5+AE5+AG5+AI5+AK5+AM5+AO5+AQ5+AS5+AU5)</f>
        <v>1921077</v>
      </c>
      <c r="AX5" s="57">
        <v>19647857</v>
      </c>
      <c r="AY5" s="58">
        <v>20711273</v>
      </c>
      <c r="AZ5" s="59">
        <f aca="true" t="shared" si="2" ref="AZ5:AZ18">AV5+AX5</f>
        <v>21414852</v>
      </c>
      <c r="BA5" s="60">
        <f aca="true" t="shared" si="3" ref="BA5:BA18">AW5+AY5</f>
        <v>22632350</v>
      </c>
      <c r="BB5" s="61"/>
    </row>
    <row r="6" spans="1:53" ht="15">
      <c r="A6" s="48" t="s">
        <v>4</v>
      </c>
      <c r="B6" s="1256">
        <v>128178</v>
      </c>
      <c r="C6" s="62">
        <v>106631</v>
      </c>
      <c r="D6" s="19"/>
      <c r="E6" s="23">
        <v>61</v>
      </c>
      <c r="F6" s="19">
        <v>10153</v>
      </c>
      <c r="G6" s="23">
        <v>6565</v>
      </c>
      <c r="H6" s="19">
        <v>174911</v>
      </c>
      <c r="I6" s="23">
        <v>83504</v>
      </c>
      <c r="J6" s="19">
        <v>9175</v>
      </c>
      <c r="K6" s="23">
        <v>68007</v>
      </c>
      <c r="L6" s="19">
        <v>163753</v>
      </c>
      <c r="M6" s="23">
        <v>139699</v>
      </c>
      <c r="N6" s="19">
        <v>619</v>
      </c>
      <c r="O6" s="23">
        <v>1871</v>
      </c>
      <c r="P6" s="19">
        <v>10837</v>
      </c>
      <c r="Q6" s="23">
        <v>7258</v>
      </c>
      <c r="R6" s="19">
        <v>10476</v>
      </c>
      <c r="S6" s="23">
        <v>15552</v>
      </c>
      <c r="T6" s="19">
        <v>13407</v>
      </c>
      <c r="U6" s="23">
        <v>22245</v>
      </c>
      <c r="V6" s="19">
        <v>475266</v>
      </c>
      <c r="W6" s="23">
        <v>349722</v>
      </c>
      <c r="X6" s="19">
        <v>317272</v>
      </c>
      <c r="Y6" s="23">
        <v>375993</v>
      </c>
      <c r="Z6" s="24">
        <v>33013</v>
      </c>
      <c r="AA6" s="25">
        <v>41605</v>
      </c>
      <c r="AB6" s="19">
        <v>138626</v>
      </c>
      <c r="AC6" s="23">
        <v>134770</v>
      </c>
      <c r="AD6" s="19">
        <v>134250</v>
      </c>
      <c r="AE6" s="23">
        <v>91116</v>
      </c>
      <c r="AF6" s="19">
        <v>365917</v>
      </c>
      <c r="AG6" s="23">
        <v>334023</v>
      </c>
      <c r="AH6" s="19"/>
      <c r="AI6" s="23">
        <v>129190</v>
      </c>
      <c r="AJ6" s="189">
        <v>4251</v>
      </c>
      <c r="AK6" s="20">
        <v>4639</v>
      </c>
      <c r="AL6" s="2"/>
      <c r="AM6" s="4"/>
      <c r="AN6" s="17">
        <v>984719</v>
      </c>
      <c r="AO6" s="18">
        <v>927096</v>
      </c>
      <c r="AP6" s="27">
        <v>1765</v>
      </c>
      <c r="AQ6" s="28">
        <v>1019</v>
      </c>
      <c r="AR6" s="29">
        <v>97624</v>
      </c>
      <c r="AS6" s="30">
        <v>76538</v>
      </c>
      <c r="AT6" s="19">
        <v>212741</v>
      </c>
      <c r="AU6" s="23">
        <v>170611</v>
      </c>
      <c r="AV6" s="42">
        <f t="shared" si="0"/>
        <v>3286953</v>
      </c>
      <c r="AW6" s="215">
        <f t="shared" si="1"/>
        <v>3087715</v>
      </c>
      <c r="AX6" s="29">
        <v>212182</v>
      </c>
      <c r="AY6" s="30">
        <v>214447</v>
      </c>
      <c r="AZ6" s="59">
        <f t="shared" si="2"/>
        <v>3499135</v>
      </c>
      <c r="BA6" s="60">
        <f t="shared" si="3"/>
        <v>3302162</v>
      </c>
    </row>
    <row r="7" spans="1:53" ht="15">
      <c r="A7" s="48" t="s">
        <v>5</v>
      </c>
      <c r="B7" s="1256">
        <v>293</v>
      </c>
      <c r="C7" s="62">
        <v>74</v>
      </c>
      <c r="D7" s="19">
        <v>281</v>
      </c>
      <c r="E7" s="23">
        <v>427</v>
      </c>
      <c r="F7" s="19">
        <v>1264</v>
      </c>
      <c r="G7" s="23">
        <v>1156</v>
      </c>
      <c r="H7" s="19">
        <v>24869</v>
      </c>
      <c r="I7" s="23">
        <v>40041</v>
      </c>
      <c r="J7" s="19">
        <v>17427</v>
      </c>
      <c r="K7" s="23">
        <v>14721</v>
      </c>
      <c r="L7" s="19">
        <v>586</v>
      </c>
      <c r="M7" s="23">
        <v>1119</v>
      </c>
      <c r="N7" s="19">
        <v>1647</v>
      </c>
      <c r="O7" s="23">
        <v>2234</v>
      </c>
      <c r="P7" s="19">
        <v>5523</v>
      </c>
      <c r="Q7" s="23">
        <v>2783</v>
      </c>
      <c r="R7" s="19">
        <v>3551</v>
      </c>
      <c r="S7" s="23">
        <v>11685</v>
      </c>
      <c r="T7" s="19">
        <v>2274</v>
      </c>
      <c r="U7" s="23">
        <v>6245</v>
      </c>
      <c r="V7" s="19">
        <v>52566</v>
      </c>
      <c r="W7" s="23">
        <v>53690</v>
      </c>
      <c r="X7" s="19">
        <v>35337</v>
      </c>
      <c r="Y7" s="23">
        <v>29297</v>
      </c>
      <c r="Z7" s="24"/>
      <c r="AA7" s="25"/>
      <c r="AB7" s="19">
        <v>5335</v>
      </c>
      <c r="AC7" s="23">
        <v>16641</v>
      </c>
      <c r="AD7" s="19">
        <v>4028</v>
      </c>
      <c r="AE7" s="23">
        <v>1103</v>
      </c>
      <c r="AF7" s="19">
        <v>6381</v>
      </c>
      <c r="AG7" s="23">
        <v>8576</v>
      </c>
      <c r="AH7" s="19"/>
      <c r="AI7" s="23">
        <v>1826</v>
      </c>
      <c r="AJ7" s="189">
        <v>14549</v>
      </c>
      <c r="AK7" s="20">
        <v>19115</v>
      </c>
      <c r="AL7" s="2"/>
      <c r="AM7" s="4"/>
      <c r="AN7" s="17">
        <v>72076</v>
      </c>
      <c r="AO7" s="18">
        <v>38620</v>
      </c>
      <c r="AP7" s="27">
        <v>162787</v>
      </c>
      <c r="AQ7" s="28">
        <v>166000</v>
      </c>
      <c r="AR7" s="29"/>
      <c r="AS7" s="30"/>
      <c r="AT7" s="19">
        <v>6032</v>
      </c>
      <c r="AU7" s="23">
        <v>4104</v>
      </c>
      <c r="AV7" s="42">
        <f t="shared" si="0"/>
        <v>416806</v>
      </c>
      <c r="AW7" s="215">
        <f t="shared" si="1"/>
        <v>419457</v>
      </c>
      <c r="AX7" s="29">
        <v>24865</v>
      </c>
      <c r="AY7" s="30">
        <v>24555</v>
      </c>
      <c r="AZ7" s="59">
        <f t="shared" si="2"/>
        <v>441671</v>
      </c>
      <c r="BA7" s="60">
        <f t="shared" si="3"/>
        <v>444012</v>
      </c>
    </row>
    <row r="8" spans="1:53" ht="15">
      <c r="A8" s="48" t="s">
        <v>6</v>
      </c>
      <c r="B8" s="1256">
        <v>116</v>
      </c>
      <c r="C8" s="62">
        <v>709</v>
      </c>
      <c r="D8" s="19">
        <v>1985</v>
      </c>
      <c r="E8" s="23">
        <v>971</v>
      </c>
      <c r="F8" s="19">
        <v>189</v>
      </c>
      <c r="G8" s="23">
        <v>531</v>
      </c>
      <c r="H8" s="19">
        <v>12242</v>
      </c>
      <c r="I8" s="23">
        <v>14284</v>
      </c>
      <c r="J8" s="19">
        <v>12987</v>
      </c>
      <c r="K8" s="23">
        <v>39643</v>
      </c>
      <c r="L8" s="19">
        <v>1732</v>
      </c>
      <c r="M8" s="23">
        <v>1809</v>
      </c>
      <c r="N8" s="19">
        <v>-16</v>
      </c>
      <c r="O8" s="23">
        <v>-32</v>
      </c>
      <c r="P8" s="19">
        <v>4646</v>
      </c>
      <c r="Q8" s="23">
        <v>2396</v>
      </c>
      <c r="R8" s="19">
        <v>42236</v>
      </c>
      <c r="S8" s="23">
        <v>61939</v>
      </c>
      <c r="T8" s="19">
        <v>611</v>
      </c>
      <c r="U8" s="23">
        <v>681</v>
      </c>
      <c r="V8" s="19">
        <v>44646</v>
      </c>
      <c r="W8" s="23">
        <v>52114</v>
      </c>
      <c r="X8" s="19">
        <v>32471</v>
      </c>
      <c r="Y8" s="23">
        <v>39744</v>
      </c>
      <c r="Z8" s="24">
        <v>771</v>
      </c>
      <c r="AA8" s="25">
        <v>330</v>
      </c>
      <c r="AB8" s="19">
        <v>1756</v>
      </c>
      <c r="AC8" s="23">
        <v>2559</v>
      </c>
      <c r="AD8" s="19">
        <v>5364</v>
      </c>
      <c r="AE8" s="23">
        <v>5783</v>
      </c>
      <c r="AF8" s="19">
        <v>4017</v>
      </c>
      <c r="AG8" s="23">
        <v>-37</v>
      </c>
      <c r="AH8" s="19"/>
      <c r="AI8" s="23">
        <v>3800</v>
      </c>
      <c r="AJ8" s="189">
        <v>8969</v>
      </c>
      <c r="AK8" s="20">
        <v>13647</v>
      </c>
      <c r="AL8" s="2"/>
      <c r="AM8" s="4"/>
      <c r="AN8" s="372">
        <v>163</v>
      </c>
      <c r="AO8" s="375">
        <v>200</v>
      </c>
      <c r="AP8" s="27">
        <v>26149</v>
      </c>
      <c r="AQ8" s="28">
        <v>10013</v>
      </c>
      <c r="AR8" s="29">
        <v>-4</v>
      </c>
      <c r="AS8" s="30">
        <v>-1</v>
      </c>
      <c r="AT8" s="19">
        <v>32503</v>
      </c>
      <c r="AU8" s="23">
        <v>25145</v>
      </c>
      <c r="AV8" s="42">
        <f t="shared" si="0"/>
        <v>233533</v>
      </c>
      <c r="AW8" s="215">
        <f t="shared" si="1"/>
        <v>276228</v>
      </c>
      <c r="AX8" s="29">
        <v>1554</v>
      </c>
      <c r="AY8" s="30">
        <v>1418</v>
      </c>
      <c r="AZ8" s="59">
        <f t="shared" si="2"/>
        <v>235087</v>
      </c>
      <c r="BA8" s="60">
        <f t="shared" si="3"/>
        <v>277646</v>
      </c>
    </row>
    <row r="9" spans="1:53" ht="15">
      <c r="A9" s="48" t="s">
        <v>7</v>
      </c>
      <c r="B9" s="1256"/>
      <c r="C9" s="62">
        <v>3866</v>
      </c>
      <c r="D9" s="19"/>
      <c r="E9" s="23"/>
      <c r="F9" s="19"/>
      <c r="G9" s="23"/>
      <c r="H9" s="19"/>
      <c r="I9" s="23"/>
      <c r="J9" s="19"/>
      <c r="K9" s="23"/>
      <c r="L9" s="19"/>
      <c r="M9" s="23"/>
      <c r="N9" s="19"/>
      <c r="O9" s="23"/>
      <c r="P9" s="19">
        <v>6</v>
      </c>
      <c r="Q9" s="23">
        <v>788</v>
      </c>
      <c r="R9" s="19"/>
      <c r="S9" s="23"/>
      <c r="T9" s="19"/>
      <c r="U9" s="23"/>
      <c r="V9" s="19"/>
      <c r="W9" s="23"/>
      <c r="X9" s="19"/>
      <c r="Y9" s="23"/>
      <c r="Z9" s="24"/>
      <c r="AA9" s="25"/>
      <c r="AB9" s="19"/>
      <c r="AC9" s="23"/>
      <c r="AD9" s="221">
        <v>2835</v>
      </c>
      <c r="AE9" s="355">
        <v>2107</v>
      </c>
      <c r="AF9" s="19"/>
      <c r="AG9" s="23"/>
      <c r="AH9" s="19"/>
      <c r="AI9" s="23"/>
      <c r="AJ9" s="189"/>
      <c r="AK9" s="20"/>
      <c r="AL9" s="2"/>
      <c r="AM9" s="4"/>
      <c r="AN9" s="77"/>
      <c r="AO9" s="78"/>
      <c r="AP9" s="27"/>
      <c r="AQ9" s="28"/>
      <c r="AR9" s="29"/>
      <c r="AS9" s="30"/>
      <c r="AT9" s="19">
        <v>21772</v>
      </c>
      <c r="AU9" s="23">
        <v>84867</v>
      </c>
      <c r="AV9" s="51">
        <f t="shared" si="0"/>
        <v>24613</v>
      </c>
      <c r="AW9" s="52">
        <f t="shared" si="1"/>
        <v>91628</v>
      </c>
      <c r="AX9" s="19">
        <v>992200</v>
      </c>
      <c r="AY9" s="23">
        <v>859375</v>
      </c>
      <c r="AZ9" s="50">
        <f t="shared" si="2"/>
        <v>1016813</v>
      </c>
      <c r="BA9" s="760">
        <f t="shared" si="3"/>
        <v>951003</v>
      </c>
    </row>
    <row r="10" spans="1:53" ht="15">
      <c r="A10" s="48" t="s">
        <v>15</v>
      </c>
      <c r="B10" s="1256"/>
      <c r="C10" s="62"/>
      <c r="D10" s="19"/>
      <c r="E10" s="23"/>
      <c r="F10" s="19"/>
      <c r="G10" s="23"/>
      <c r="H10" s="19"/>
      <c r="I10" s="23"/>
      <c r="J10" s="19"/>
      <c r="K10" s="23"/>
      <c r="L10" s="19"/>
      <c r="M10" s="23"/>
      <c r="N10" s="19"/>
      <c r="O10" s="23"/>
      <c r="P10" s="19"/>
      <c r="Q10" s="23"/>
      <c r="R10" s="19"/>
      <c r="S10" s="23"/>
      <c r="T10" s="19"/>
      <c r="U10" s="23"/>
      <c r="V10" s="19"/>
      <c r="W10" s="23"/>
      <c r="X10" s="19"/>
      <c r="Y10" s="23"/>
      <c r="Z10" s="19"/>
      <c r="AA10" s="23"/>
      <c r="AB10" s="19">
        <v>28997</v>
      </c>
      <c r="AC10" s="23">
        <v>16583</v>
      </c>
      <c r="AD10" s="19"/>
      <c r="AE10" s="23"/>
      <c r="AF10" s="19"/>
      <c r="AG10" s="23"/>
      <c r="AH10" s="19"/>
      <c r="AI10" s="23"/>
      <c r="AJ10" s="189"/>
      <c r="AK10" s="20"/>
      <c r="AL10" s="2"/>
      <c r="AM10" s="4"/>
      <c r="AN10" s="77"/>
      <c r="AO10" s="78"/>
      <c r="AP10" s="27"/>
      <c r="AQ10" s="28"/>
      <c r="AR10" s="29"/>
      <c r="AS10" s="30"/>
      <c r="AT10" s="19"/>
      <c r="AU10" s="23"/>
      <c r="AV10" s="42">
        <f t="shared" si="0"/>
        <v>28997</v>
      </c>
      <c r="AW10" s="215">
        <f t="shared" si="1"/>
        <v>16583</v>
      </c>
      <c r="AX10" s="29"/>
      <c r="AY10" s="30"/>
      <c r="AZ10" s="59">
        <f t="shared" si="2"/>
        <v>28997</v>
      </c>
      <c r="BA10" s="60">
        <f t="shared" si="3"/>
        <v>16583</v>
      </c>
    </row>
    <row r="11" spans="1:53" ht="15">
      <c r="A11" s="48" t="s">
        <v>8</v>
      </c>
      <c r="B11" s="1256">
        <v>9352</v>
      </c>
      <c r="C11" s="62">
        <v>11477</v>
      </c>
      <c r="D11" s="19">
        <v>16896</v>
      </c>
      <c r="E11" s="23">
        <v>35903</v>
      </c>
      <c r="F11" s="19">
        <v>4943</v>
      </c>
      <c r="G11" s="23">
        <v>5917</v>
      </c>
      <c r="H11" s="19">
        <v>32599</v>
      </c>
      <c r="I11" s="23">
        <v>20838</v>
      </c>
      <c r="J11" s="19">
        <v>23749</v>
      </c>
      <c r="K11" s="23">
        <v>27426</v>
      </c>
      <c r="L11" s="19">
        <v>11899</v>
      </c>
      <c r="M11" s="23">
        <v>6860</v>
      </c>
      <c r="N11" s="19">
        <v>17152</v>
      </c>
      <c r="O11" s="23">
        <v>21051</v>
      </c>
      <c r="P11" s="19">
        <v>18658</v>
      </c>
      <c r="Q11" s="23">
        <v>23945</v>
      </c>
      <c r="R11" s="19">
        <v>9323</v>
      </c>
      <c r="S11" s="23">
        <v>8972</v>
      </c>
      <c r="T11" s="19">
        <v>33239</v>
      </c>
      <c r="U11" s="23">
        <v>29757</v>
      </c>
      <c r="V11" s="19">
        <v>257683</v>
      </c>
      <c r="W11" s="23">
        <v>255808</v>
      </c>
      <c r="X11" s="19">
        <v>74258</v>
      </c>
      <c r="Y11" s="23">
        <v>80505</v>
      </c>
      <c r="Z11" s="19">
        <v>3796</v>
      </c>
      <c r="AA11" s="23">
        <v>1204</v>
      </c>
      <c r="AB11" s="19">
        <v>17320</v>
      </c>
      <c r="AC11" s="23">
        <v>10547</v>
      </c>
      <c r="AD11" s="19">
        <v>102667</v>
      </c>
      <c r="AE11" s="23">
        <v>62197</v>
      </c>
      <c r="AF11" s="19">
        <v>134549</v>
      </c>
      <c r="AG11" s="23">
        <v>106027</v>
      </c>
      <c r="AH11" s="19"/>
      <c r="AI11" s="23">
        <v>47991</v>
      </c>
      <c r="AJ11" s="189">
        <v>98873</v>
      </c>
      <c r="AK11" s="20">
        <v>65435</v>
      </c>
      <c r="AL11" s="2"/>
      <c r="AM11" s="4"/>
      <c r="AN11" s="17">
        <v>17020</v>
      </c>
      <c r="AO11" s="18">
        <v>12093</v>
      </c>
      <c r="AP11" s="27">
        <v>99029</v>
      </c>
      <c r="AQ11" s="28">
        <v>88945</v>
      </c>
      <c r="AR11" s="29">
        <v>1938</v>
      </c>
      <c r="AS11" s="30">
        <v>1040</v>
      </c>
      <c r="AT11" s="19">
        <v>20929</v>
      </c>
      <c r="AU11" s="23">
        <v>24665</v>
      </c>
      <c r="AV11" s="42">
        <f t="shared" si="0"/>
        <v>1005872</v>
      </c>
      <c r="AW11" s="215">
        <f t="shared" si="1"/>
        <v>948603</v>
      </c>
      <c r="AX11" s="29">
        <v>88472</v>
      </c>
      <c r="AY11" s="30">
        <v>80097</v>
      </c>
      <c r="AZ11" s="59">
        <f t="shared" si="2"/>
        <v>1094344</v>
      </c>
      <c r="BA11" s="60">
        <f t="shared" si="3"/>
        <v>1028700</v>
      </c>
    </row>
    <row r="12" spans="1:53" ht="15">
      <c r="A12" s="48" t="s">
        <v>16</v>
      </c>
      <c r="B12" s="1256"/>
      <c r="C12" s="62"/>
      <c r="D12" s="19"/>
      <c r="E12" s="23"/>
      <c r="F12" s="19"/>
      <c r="G12" s="23"/>
      <c r="H12" s="19">
        <v>7373</v>
      </c>
      <c r="I12" s="23"/>
      <c r="J12" s="19"/>
      <c r="K12" s="23"/>
      <c r="L12" s="19"/>
      <c r="M12" s="23"/>
      <c r="N12" s="19"/>
      <c r="O12" s="23"/>
      <c r="P12" s="19"/>
      <c r="Q12" s="23"/>
      <c r="R12" s="19">
        <v>7371</v>
      </c>
      <c r="S12" s="23">
        <v>569</v>
      </c>
      <c r="T12" s="19"/>
      <c r="U12" s="23"/>
      <c r="V12" s="19"/>
      <c r="W12" s="23"/>
      <c r="X12" s="19"/>
      <c r="Y12" s="23"/>
      <c r="Z12" s="19"/>
      <c r="AA12" s="23"/>
      <c r="AB12" s="19"/>
      <c r="AC12" s="23"/>
      <c r="AD12" s="19">
        <v>201</v>
      </c>
      <c r="AE12" s="23">
        <v>1253</v>
      </c>
      <c r="AF12" s="19"/>
      <c r="AG12" s="23"/>
      <c r="AH12" s="19"/>
      <c r="AI12" s="23"/>
      <c r="AJ12" s="189"/>
      <c r="AK12" s="20"/>
      <c r="AL12" s="2"/>
      <c r="AM12" s="4"/>
      <c r="AN12" s="17"/>
      <c r="AO12" s="18"/>
      <c r="AP12" s="27"/>
      <c r="AQ12" s="28"/>
      <c r="AR12" s="29"/>
      <c r="AS12" s="30"/>
      <c r="AT12" s="19"/>
      <c r="AU12" s="23"/>
      <c r="AV12" s="42">
        <f t="shared" si="0"/>
        <v>14945</v>
      </c>
      <c r="AW12" s="215">
        <f t="shared" si="1"/>
        <v>1822</v>
      </c>
      <c r="AX12" s="29"/>
      <c r="AY12" s="30"/>
      <c r="AZ12" s="59">
        <f t="shared" si="2"/>
        <v>14945</v>
      </c>
      <c r="BA12" s="60">
        <f t="shared" si="3"/>
        <v>1822</v>
      </c>
    </row>
    <row r="13" spans="1:53" ht="15">
      <c r="A13" s="48" t="s">
        <v>17</v>
      </c>
      <c r="B13" s="1256"/>
      <c r="C13" s="62"/>
      <c r="D13" s="19">
        <v>3</v>
      </c>
      <c r="E13" s="23">
        <v>6</v>
      </c>
      <c r="F13" s="19"/>
      <c r="G13" s="23"/>
      <c r="H13" s="19"/>
      <c r="I13" s="23"/>
      <c r="J13" s="19"/>
      <c r="K13" s="23"/>
      <c r="L13" s="19"/>
      <c r="M13" s="23"/>
      <c r="N13" s="19"/>
      <c r="O13" s="23"/>
      <c r="P13" s="19"/>
      <c r="Q13" s="23"/>
      <c r="R13" s="19"/>
      <c r="S13" s="23"/>
      <c r="T13" s="19"/>
      <c r="U13" s="23"/>
      <c r="V13" s="19">
        <v>201</v>
      </c>
      <c r="W13" s="23">
        <v>234</v>
      </c>
      <c r="X13" s="19">
        <v>937</v>
      </c>
      <c r="Y13" s="23">
        <v>565</v>
      </c>
      <c r="Z13" s="19"/>
      <c r="AA13" s="23"/>
      <c r="AB13" s="19"/>
      <c r="AC13" s="23"/>
      <c r="AD13" s="19"/>
      <c r="AE13" s="23"/>
      <c r="AF13" s="19"/>
      <c r="AG13" s="23"/>
      <c r="AH13" s="19"/>
      <c r="AI13" s="23"/>
      <c r="AJ13" s="189"/>
      <c r="AK13" s="20"/>
      <c r="AL13" s="2"/>
      <c r="AM13" s="4"/>
      <c r="AN13" s="17"/>
      <c r="AO13" s="18"/>
      <c r="AP13" s="27"/>
      <c r="AQ13" s="28"/>
      <c r="AR13" s="29"/>
      <c r="AS13" s="30"/>
      <c r="AT13" s="19"/>
      <c r="AU13" s="23"/>
      <c r="AV13" s="42">
        <f t="shared" si="0"/>
        <v>1141</v>
      </c>
      <c r="AW13" s="215">
        <f t="shared" si="1"/>
        <v>805</v>
      </c>
      <c r="AX13" s="29">
        <v>8309</v>
      </c>
      <c r="AY13" s="30">
        <v>5055</v>
      </c>
      <c r="AZ13" s="59">
        <f t="shared" si="2"/>
        <v>9450</v>
      </c>
      <c r="BA13" s="60">
        <f t="shared" si="3"/>
        <v>5860</v>
      </c>
    </row>
    <row r="14" spans="1:53" ht="15">
      <c r="A14" s="48" t="s">
        <v>18</v>
      </c>
      <c r="B14" s="1256"/>
      <c r="C14" s="62"/>
      <c r="D14" s="19"/>
      <c r="E14" s="23"/>
      <c r="F14" s="19"/>
      <c r="G14" s="23"/>
      <c r="H14" s="19">
        <v>4164</v>
      </c>
      <c r="I14" s="23">
        <v>10738</v>
      </c>
      <c r="J14" s="19"/>
      <c r="K14" s="23"/>
      <c r="L14" s="19"/>
      <c r="M14" s="23"/>
      <c r="N14" s="19"/>
      <c r="O14" s="23"/>
      <c r="P14" s="19"/>
      <c r="Q14" s="23"/>
      <c r="R14" s="19"/>
      <c r="S14" s="23"/>
      <c r="T14" s="19"/>
      <c r="U14" s="23"/>
      <c r="V14" s="19"/>
      <c r="W14" s="23"/>
      <c r="X14" s="19">
        <v>26635</v>
      </c>
      <c r="Y14" s="23">
        <v>37250</v>
      </c>
      <c r="Z14" s="19"/>
      <c r="AA14" s="23"/>
      <c r="AB14" s="19"/>
      <c r="AC14" s="23"/>
      <c r="AD14" s="19"/>
      <c r="AE14" s="23"/>
      <c r="AF14" s="19"/>
      <c r="AG14" s="23"/>
      <c r="AH14" s="19"/>
      <c r="AI14" s="23"/>
      <c r="AJ14" s="189"/>
      <c r="AK14" s="20"/>
      <c r="AL14" s="2"/>
      <c r="AM14" s="4"/>
      <c r="AN14" s="17"/>
      <c r="AO14" s="18"/>
      <c r="AP14" s="27"/>
      <c r="AQ14" s="28"/>
      <c r="AR14" s="29"/>
      <c r="AS14" s="30"/>
      <c r="AT14" s="19"/>
      <c r="AU14" s="23"/>
      <c r="AV14" s="42">
        <f t="shared" si="0"/>
        <v>30799</v>
      </c>
      <c r="AW14" s="215">
        <f t="shared" si="1"/>
        <v>47988</v>
      </c>
      <c r="AX14" s="29"/>
      <c r="AY14" s="30"/>
      <c r="AZ14" s="59">
        <f t="shared" si="2"/>
        <v>30799</v>
      </c>
      <c r="BA14" s="60">
        <f t="shared" si="3"/>
        <v>47988</v>
      </c>
    </row>
    <row r="15" spans="1:53" ht="15.75" thickBot="1">
      <c r="A15" s="48" t="s">
        <v>19</v>
      </c>
      <c r="B15" s="1257"/>
      <c r="C15" s="670"/>
      <c r="D15" s="671"/>
      <c r="E15" s="672"/>
      <c r="F15" s="671"/>
      <c r="G15" s="672"/>
      <c r="H15" s="671">
        <v>35734</v>
      </c>
      <c r="I15" s="672">
        <v>15996</v>
      </c>
      <c r="J15" s="671">
        <v>307</v>
      </c>
      <c r="K15" s="672"/>
      <c r="L15" s="671"/>
      <c r="M15" s="672"/>
      <c r="N15" s="671"/>
      <c r="O15" s="672"/>
      <c r="P15" s="671">
        <v>942</v>
      </c>
      <c r="Q15" s="672">
        <v>1583</v>
      </c>
      <c r="R15" s="671"/>
      <c r="S15" s="672"/>
      <c r="T15" s="671"/>
      <c r="U15" s="672">
        <v>162</v>
      </c>
      <c r="V15" s="671">
        <v>6151</v>
      </c>
      <c r="W15" s="672">
        <v>39710</v>
      </c>
      <c r="X15" s="671">
        <v>13198</v>
      </c>
      <c r="Y15" s="672">
        <v>32663</v>
      </c>
      <c r="Z15" s="671"/>
      <c r="AA15" s="672"/>
      <c r="AB15" s="671"/>
      <c r="AC15" s="672"/>
      <c r="AD15" s="671"/>
      <c r="AE15" s="672"/>
      <c r="AF15" s="671"/>
      <c r="AG15" s="672"/>
      <c r="AH15" s="671"/>
      <c r="AI15" s="672">
        <v>3013</v>
      </c>
      <c r="AJ15" s="209">
        <v>201</v>
      </c>
      <c r="AK15" s="673">
        <v>150</v>
      </c>
      <c r="AL15" s="264"/>
      <c r="AM15" s="268"/>
      <c r="AN15" s="674"/>
      <c r="AO15" s="675"/>
      <c r="AP15" s="676">
        <v>74</v>
      </c>
      <c r="AQ15" s="677"/>
      <c r="AR15" s="678"/>
      <c r="AS15" s="679"/>
      <c r="AT15" s="671">
        <v>32973</v>
      </c>
      <c r="AU15" s="672">
        <v>36215</v>
      </c>
      <c r="AV15" s="680">
        <f t="shared" si="0"/>
        <v>89580</v>
      </c>
      <c r="AW15" s="681">
        <f t="shared" si="1"/>
        <v>129492</v>
      </c>
      <c r="AX15" s="678"/>
      <c r="AY15" s="679"/>
      <c r="AZ15" s="682">
        <f t="shared" si="2"/>
        <v>89580</v>
      </c>
      <c r="BA15" s="683">
        <f t="shared" si="3"/>
        <v>129492</v>
      </c>
    </row>
    <row r="16" spans="1:53" s="455" customFormat="1" ht="15" thickBot="1">
      <c r="A16" s="1254" t="s">
        <v>20</v>
      </c>
      <c r="B16" s="684">
        <f aca="true" t="shared" si="4" ref="B16:AG16">SUM(B5:B15)</f>
        <v>257556</v>
      </c>
      <c r="C16" s="689">
        <f t="shared" si="4"/>
        <v>261822</v>
      </c>
      <c r="D16" s="684">
        <f t="shared" si="4"/>
        <v>19175</v>
      </c>
      <c r="E16" s="684">
        <f t="shared" si="4"/>
        <v>37373</v>
      </c>
      <c r="F16" s="684">
        <f t="shared" si="4"/>
        <v>21901</v>
      </c>
      <c r="G16" s="684">
        <f t="shared" si="4"/>
        <v>20741</v>
      </c>
      <c r="H16" s="684">
        <f t="shared" si="4"/>
        <v>427003</v>
      </c>
      <c r="I16" s="684">
        <f t="shared" si="4"/>
        <v>311418</v>
      </c>
      <c r="J16" s="684">
        <f t="shared" si="4"/>
        <v>116831</v>
      </c>
      <c r="K16" s="684">
        <f t="shared" si="4"/>
        <v>207612</v>
      </c>
      <c r="L16" s="684">
        <f t="shared" si="4"/>
        <v>179712</v>
      </c>
      <c r="M16" s="684">
        <f t="shared" si="4"/>
        <v>149854</v>
      </c>
      <c r="N16" s="684">
        <f t="shared" si="4"/>
        <v>30646</v>
      </c>
      <c r="O16" s="684">
        <f t="shared" si="4"/>
        <v>39491</v>
      </c>
      <c r="P16" s="684">
        <f t="shared" si="4"/>
        <v>80131</v>
      </c>
      <c r="Q16" s="684">
        <f t="shared" si="4"/>
        <v>79900</v>
      </c>
      <c r="R16" s="684">
        <f t="shared" si="4"/>
        <v>144959</v>
      </c>
      <c r="S16" s="684">
        <f t="shared" si="4"/>
        <v>181989</v>
      </c>
      <c r="T16" s="684">
        <f t="shared" si="4"/>
        <v>53249</v>
      </c>
      <c r="U16" s="684">
        <f t="shared" si="4"/>
        <v>65271</v>
      </c>
      <c r="V16" s="684">
        <f t="shared" si="4"/>
        <v>982007</v>
      </c>
      <c r="W16" s="684">
        <f t="shared" si="4"/>
        <v>896353</v>
      </c>
      <c r="X16" s="684">
        <f t="shared" si="4"/>
        <v>661511</v>
      </c>
      <c r="Y16" s="684">
        <f t="shared" si="4"/>
        <v>765207</v>
      </c>
      <c r="Z16" s="684">
        <f t="shared" si="4"/>
        <v>41870</v>
      </c>
      <c r="AA16" s="684">
        <f t="shared" si="4"/>
        <v>47516</v>
      </c>
      <c r="AB16" s="684">
        <f t="shared" si="4"/>
        <v>197564</v>
      </c>
      <c r="AC16" s="684">
        <f t="shared" si="4"/>
        <v>187896</v>
      </c>
      <c r="AD16" s="684">
        <f t="shared" si="4"/>
        <v>339903</v>
      </c>
      <c r="AE16" s="684">
        <f t="shared" si="4"/>
        <v>315081</v>
      </c>
      <c r="AF16" s="684">
        <f t="shared" si="4"/>
        <v>644627</v>
      </c>
      <c r="AG16" s="684">
        <f t="shared" si="4"/>
        <v>596524</v>
      </c>
      <c r="AH16" s="684">
        <f aca="true" t="shared" si="5" ref="AH16:AU16">SUM(AH5:AH15)</f>
        <v>0</v>
      </c>
      <c r="AI16" s="684">
        <f t="shared" si="5"/>
        <v>194130</v>
      </c>
      <c r="AJ16" s="684">
        <f t="shared" si="5"/>
        <v>190424</v>
      </c>
      <c r="AK16" s="685">
        <f t="shared" si="5"/>
        <v>204844</v>
      </c>
      <c r="AL16" s="684">
        <f t="shared" si="5"/>
        <v>0</v>
      </c>
      <c r="AM16" s="687">
        <f t="shared" si="5"/>
        <v>0</v>
      </c>
      <c r="AN16" s="686">
        <f t="shared" si="5"/>
        <v>1656377</v>
      </c>
      <c r="AO16" s="687">
        <f t="shared" si="5"/>
        <v>1551176</v>
      </c>
      <c r="AP16" s="684">
        <f t="shared" si="5"/>
        <v>294971</v>
      </c>
      <c r="AQ16" s="684">
        <f t="shared" si="5"/>
        <v>271665</v>
      </c>
      <c r="AR16" s="684">
        <f t="shared" si="5"/>
        <v>99547</v>
      </c>
      <c r="AS16" s="684">
        <f t="shared" si="5"/>
        <v>77607</v>
      </c>
      <c r="AT16" s="684">
        <f t="shared" si="5"/>
        <v>460270</v>
      </c>
      <c r="AU16" s="689">
        <f t="shared" si="5"/>
        <v>477928</v>
      </c>
      <c r="AV16" s="690">
        <f t="shared" si="0"/>
        <v>6900234</v>
      </c>
      <c r="AW16" s="691">
        <f t="shared" si="1"/>
        <v>6941398</v>
      </c>
      <c r="AX16" s="692">
        <f>SUM(AX5:AX15)</f>
        <v>20975439</v>
      </c>
      <c r="AY16" s="693">
        <f>SUM(AY5:AY15)</f>
        <v>21896220</v>
      </c>
      <c r="AZ16" s="694">
        <f t="shared" si="2"/>
        <v>27875673</v>
      </c>
      <c r="BA16" s="695">
        <f t="shared" si="3"/>
        <v>28837618</v>
      </c>
    </row>
    <row r="17" spans="1:53" s="777" customFormat="1" ht="15" thickBot="1">
      <c r="A17" s="761" t="s">
        <v>11</v>
      </c>
      <c r="B17" s="1258"/>
      <c r="C17" s="762"/>
      <c r="D17" s="763"/>
      <c r="E17" s="764"/>
      <c r="F17" s="763"/>
      <c r="G17" s="764"/>
      <c r="H17" s="763"/>
      <c r="I17" s="764"/>
      <c r="J17" s="763"/>
      <c r="K17" s="764"/>
      <c r="L17" s="763"/>
      <c r="M17" s="764"/>
      <c r="N17" s="763">
        <v>-1</v>
      </c>
      <c r="O17" s="764">
        <v>348</v>
      </c>
      <c r="P17" s="766"/>
      <c r="Q17" s="767"/>
      <c r="R17" s="766">
        <v>3684</v>
      </c>
      <c r="S17" s="767">
        <v>8424</v>
      </c>
      <c r="T17" s="766"/>
      <c r="U17" s="767"/>
      <c r="V17" s="766"/>
      <c r="W17" s="767"/>
      <c r="X17" s="766"/>
      <c r="Y17" s="767"/>
      <c r="Z17" s="766"/>
      <c r="AA17" s="767"/>
      <c r="AB17" s="763"/>
      <c r="AC17" s="764"/>
      <c r="AD17" s="763">
        <v>416</v>
      </c>
      <c r="AE17" s="764">
        <v>258</v>
      </c>
      <c r="AF17" s="763"/>
      <c r="AG17" s="764"/>
      <c r="AH17" s="763"/>
      <c r="AI17" s="764">
        <v>-3</v>
      </c>
      <c r="AJ17" s="763"/>
      <c r="AK17" s="768"/>
      <c r="AL17" s="874"/>
      <c r="AM17" s="769"/>
      <c r="AN17" s="770"/>
      <c r="AO17" s="771"/>
      <c r="AP17" s="772"/>
      <c r="AQ17" s="773"/>
      <c r="AR17" s="774"/>
      <c r="AS17" s="775"/>
      <c r="AT17" s="763"/>
      <c r="AU17" s="764"/>
      <c r="AV17" s="766">
        <f t="shared" si="0"/>
        <v>4099</v>
      </c>
      <c r="AW17" s="767">
        <f t="shared" si="1"/>
        <v>9027</v>
      </c>
      <c r="AX17" s="774"/>
      <c r="AY17" s="775"/>
      <c r="AZ17" s="765">
        <f t="shared" si="2"/>
        <v>4099</v>
      </c>
      <c r="BA17" s="776">
        <f t="shared" si="3"/>
        <v>9027</v>
      </c>
    </row>
    <row r="18" spans="1:53" s="455" customFormat="1" ht="15" thickBot="1">
      <c r="A18" s="1254" t="s">
        <v>12</v>
      </c>
      <c r="B18" s="684">
        <f aca="true" t="shared" si="6" ref="B18:AG18">B16+B17</f>
        <v>257556</v>
      </c>
      <c r="C18" s="689">
        <f t="shared" si="6"/>
        <v>261822</v>
      </c>
      <c r="D18" s="684">
        <f t="shared" si="6"/>
        <v>19175</v>
      </c>
      <c r="E18" s="684">
        <f t="shared" si="6"/>
        <v>37373</v>
      </c>
      <c r="F18" s="684">
        <f t="shared" si="6"/>
        <v>21901</v>
      </c>
      <c r="G18" s="684">
        <f t="shared" si="6"/>
        <v>20741</v>
      </c>
      <c r="H18" s="684">
        <f t="shared" si="6"/>
        <v>427003</v>
      </c>
      <c r="I18" s="684">
        <f t="shared" si="6"/>
        <v>311418</v>
      </c>
      <c r="J18" s="684">
        <f t="shared" si="6"/>
        <v>116831</v>
      </c>
      <c r="K18" s="684">
        <f t="shared" si="6"/>
        <v>207612</v>
      </c>
      <c r="L18" s="684">
        <f t="shared" si="6"/>
        <v>179712</v>
      </c>
      <c r="M18" s="684">
        <f t="shared" si="6"/>
        <v>149854</v>
      </c>
      <c r="N18" s="684">
        <f t="shared" si="6"/>
        <v>30645</v>
      </c>
      <c r="O18" s="684">
        <f t="shared" si="6"/>
        <v>39839</v>
      </c>
      <c r="P18" s="684">
        <f t="shared" si="6"/>
        <v>80131</v>
      </c>
      <c r="Q18" s="684">
        <f t="shared" si="6"/>
        <v>79900</v>
      </c>
      <c r="R18" s="684">
        <f t="shared" si="6"/>
        <v>148643</v>
      </c>
      <c r="S18" s="684">
        <f t="shared" si="6"/>
        <v>190413</v>
      </c>
      <c r="T18" s="684">
        <f t="shared" si="6"/>
        <v>53249</v>
      </c>
      <c r="U18" s="684">
        <f t="shared" si="6"/>
        <v>65271</v>
      </c>
      <c r="V18" s="684">
        <f t="shared" si="6"/>
        <v>982007</v>
      </c>
      <c r="W18" s="684">
        <f t="shared" si="6"/>
        <v>896353</v>
      </c>
      <c r="X18" s="684">
        <f t="shared" si="6"/>
        <v>661511</v>
      </c>
      <c r="Y18" s="684">
        <f t="shared" si="6"/>
        <v>765207</v>
      </c>
      <c r="Z18" s="684">
        <f t="shared" si="6"/>
        <v>41870</v>
      </c>
      <c r="AA18" s="684">
        <f t="shared" si="6"/>
        <v>47516</v>
      </c>
      <c r="AB18" s="684">
        <f t="shared" si="6"/>
        <v>197564</v>
      </c>
      <c r="AC18" s="684">
        <f t="shared" si="6"/>
        <v>187896</v>
      </c>
      <c r="AD18" s="684">
        <f t="shared" si="6"/>
        <v>340319</v>
      </c>
      <c r="AE18" s="684">
        <f t="shared" si="6"/>
        <v>315339</v>
      </c>
      <c r="AF18" s="684">
        <f t="shared" si="6"/>
        <v>644627</v>
      </c>
      <c r="AG18" s="684">
        <f t="shared" si="6"/>
        <v>596524</v>
      </c>
      <c r="AH18" s="684">
        <f aca="true" t="shared" si="7" ref="AH18:AU18">AH16+AH17</f>
        <v>0</v>
      </c>
      <c r="AI18" s="684">
        <f t="shared" si="7"/>
        <v>194127</v>
      </c>
      <c r="AJ18" s="684">
        <f t="shared" si="7"/>
        <v>190424</v>
      </c>
      <c r="AK18" s="685">
        <f t="shared" si="7"/>
        <v>204844</v>
      </c>
      <c r="AL18" s="684">
        <f t="shared" si="7"/>
        <v>0</v>
      </c>
      <c r="AM18" s="687">
        <f t="shared" si="7"/>
        <v>0</v>
      </c>
      <c r="AN18" s="686">
        <f t="shared" si="7"/>
        <v>1656377</v>
      </c>
      <c r="AO18" s="687">
        <f t="shared" si="7"/>
        <v>1551176</v>
      </c>
      <c r="AP18" s="684">
        <f t="shared" si="7"/>
        <v>294971</v>
      </c>
      <c r="AQ18" s="684">
        <f t="shared" si="7"/>
        <v>271665</v>
      </c>
      <c r="AR18" s="684">
        <f t="shared" si="7"/>
        <v>99547</v>
      </c>
      <c r="AS18" s="684">
        <f t="shared" si="7"/>
        <v>77607</v>
      </c>
      <c r="AT18" s="684">
        <f t="shared" si="7"/>
        <v>460270</v>
      </c>
      <c r="AU18" s="689">
        <f t="shared" si="7"/>
        <v>477928</v>
      </c>
      <c r="AV18" s="690">
        <f t="shared" si="0"/>
        <v>6904333</v>
      </c>
      <c r="AW18" s="691">
        <f t="shared" si="1"/>
        <v>6950425</v>
      </c>
      <c r="AX18" s="694">
        <f>AX16+AX17</f>
        <v>20975439</v>
      </c>
      <c r="AY18" s="695">
        <f>AY16+AY17</f>
        <v>21896220</v>
      </c>
      <c r="AZ18" s="694">
        <f t="shared" si="2"/>
        <v>27879772</v>
      </c>
      <c r="BA18" s="695">
        <f t="shared" si="3"/>
        <v>28846645</v>
      </c>
    </row>
  </sheetData>
  <sheetProtection/>
  <mergeCells count="29">
    <mergeCell ref="A1:AY1"/>
    <mergeCell ref="A2:AY2"/>
    <mergeCell ref="A3:A4"/>
    <mergeCell ref="L3:M3"/>
    <mergeCell ref="T3:U3"/>
    <mergeCell ref="J3:K3"/>
    <mergeCell ref="P3:Q3"/>
    <mergeCell ref="AT3:AU3"/>
    <mergeCell ref="R3:S3"/>
    <mergeCell ref="AB3:AC3"/>
    <mergeCell ref="AZ3:BA3"/>
    <mergeCell ref="AJ3:AK3"/>
    <mergeCell ref="AL3:AM3"/>
    <mergeCell ref="AN3:AO3"/>
    <mergeCell ref="AP3:AQ3"/>
    <mergeCell ref="AH3:AI3"/>
    <mergeCell ref="AR3:AS3"/>
    <mergeCell ref="AV3:AW3"/>
    <mergeCell ref="AX3:AY3"/>
    <mergeCell ref="B3:C3"/>
    <mergeCell ref="D3:E3"/>
    <mergeCell ref="F3:G3"/>
    <mergeCell ref="H3:I3"/>
    <mergeCell ref="AF3:AG3"/>
    <mergeCell ref="AD3:AE3"/>
    <mergeCell ref="V3:W3"/>
    <mergeCell ref="N3:O3"/>
    <mergeCell ref="X3:Y3"/>
    <mergeCell ref="Z3:AA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BA7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V3" sqref="AV3:AW69"/>
    </sheetView>
  </sheetViews>
  <sheetFormatPr defaultColWidth="9.140625" defaultRowHeight="15"/>
  <cols>
    <col min="1" max="1" width="59.28125" style="0" bestFit="1" customWidth="1"/>
    <col min="2" max="2" width="11.00390625" style="0" bestFit="1" customWidth="1"/>
    <col min="3" max="3" width="11.28125" style="0" customWidth="1"/>
    <col min="4" max="4" width="15.421875" style="0" customWidth="1"/>
    <col min="5" max="5" width="16.140625" style="0" customWidth="1"/>
    <col min="6" max="6" width="12.8515625" style="0" bestFit="1" customWidth="1"/>
    <col min="7" max="7" width="14.7109375" style="0" customWidth="1"/>
    <col min="8" max="8" width="13.140625" style="0" customWidth="1"/>
    <col min="9" max="10" width="12.8515625" style="0" bestFit="1" customWidth="1"/>
    <col min="11" max="11" width="12.57421875" style="0" bestFit="1" customWidth="1"/>
    <col min="12" max="12" width="12.28125" style="0" customWidth="1"/>
    <col min="13" max="13" width="12.8515625" style="0" bestFit="1" customWidth="1"/>
    <col min="14" max="14" width="12.421875" style="0" customWidth="1"/>
    <col min="15" max="15" width="14.7109375" style="0" bestFit="1" customWidth="1"/>
    <col min="16" max="16" width="13.00390625" style="0" customWidth="1"/>
    <col min="17" max="17" width="13.421875" style="0" customWidth="1"/>
    <col min="18" max="18" width="11.28125" style="0" customWidth="1"/>
    <col min="19" max="19" width="12.140625" style="0" customWidth="1"/>
    <col min="20" max="20" width="14.7109375" style="0" customWidth="1"/>
    <col min="21" max="21" width="14.00390625" style="0" customWidth="1"/>
    <col min="22" max="25" width="14.28125" style="0" bestFit="1" customWidth="1"/>
    <col min="26" max="26" width="12.140625" style="0" customWidth="1"/>
    <col min="27" max="27" width="12.57421875" style="0" bestFit="1" customWidth="1"/>
    <col min="28" max="28" width="15.57421875" style="0" bestFit="1" customWidth="1"/>
    <col min="29" max="30" width="12.8515625" style="0" bestFit="1" customWidth="1"/>
    <col min="31" max="31" width="12.8515625" style="0" customWidth="1"/>
    <col min="32" max="33" width="12.8515625" style="0" bestFit="1" customWidth="1"/>
    <col min="34" max="34" width="11.00390625" style="0" bestFit="1" customWidth="1"/>
    <col min="35" max="37" width="12.8515625" style="0" bestFit="1" customWidth="1"/>
    <col min="38" max="38" width="13.00390625" style="0" customWidth="1"/>
    <col min="39" max="39" width="12.8515625" style="0" customWidth="1"/>
    <col min="40" max="40" width="14.28125" style="0" bestFit="1" customWidth="1"/>
    <col min="41" max="41" width="12.8515625" style="0" customWidth="1"/>
    <col min="42" max="43" width="11.57421875" style="0" bestFit="1" customWidth="1"/>
    <col min="44" max="44" width="12.8515625" style="0" bestFit="1" customWidth="1"/>
    <col min="45" max="45" width="15.00390625" style="0" customWidth="1"/>
    <col min="46" max="46" width="12.8515625" style="0" bestFit="1" customWidth="1"/>
    <col min="47" max="47" width="12.8515625" style="0" customWidth="1"/>
    <col min="48" max="48" width="15.57421875" style="0" bestFit="1" customWidth="1"/>
    <col min="49" max="49" width="14.28125" style="0" bestFit="1" customWidth="1"/>
    <col min="50" max="53" width="15.57421875" style="0" bestFit="1" customWidth="1"/>
  </cols>
  <sheetData>
    <row r="1" spans="1:53" ht="40.5" customHeight="1" thickBot="1">
      <c r="A1" s="1024" t="s">
        <v>450</v>
      </c>
      <c r="B1" s="1606" t="s">
        <v>163</v>
      </c>
      <c r="C1" s="1607"/>
      <c r="D1" s="1614" t="s">
        <v>451</v>
      </c>
      <c r="E1" s="1615"/>
      <c r="F1" s="1614" t="s">
        <v>165</v>
      </c>
      <c r="G1" s="1615"/>
      <c r="H1" s="1614" t="s">
        <v>166</v>
      </c>
      <c r="I1" s="1615"/>
      <c r="J1" s="1614" t="s">
        <v>452</v>
      </c>
      <c r="K1" s="1615"/>
      <c r="L1" s="1614" t="s">
        <v>168</v>
      </c>
      <c r="M1" s="1615"/>
      <c r="N1" s="1614" t="s">
        <v>446</v>
      </c>
      <c r="O1" s="1615"/>
      <c r="P1" s="1614" t="s">
        <v>213</v>
      </c>
      <c r="Q1" s="1615"/>
      <c r="R1" s="1614" t="s">
        <v>453</v>
      </c>
      <c r="S1" s="1615"/>
      <c r="T1" s="1614" t="s">
        <v>454</v>
      </c>
      <c r="U1" s="1615"/>
      <c r="V1" s="1614" t="s">
        <v>455</v>
      </c>
      <c r="W1" s="1615"/>
      <c r="X1" s="1614" t="s">
        <v>456</v>
      </c>
      <c r="Y1" s="1615"/>
      <c r="Z1" s="1614" t="s">
        <v>528</v>
      </c>
      <c r="AA1" s="1615"/>
      <c r="AB1" s="1614" t="s">
        <v>174</v>
      </c>
      <c r="AC1" s="1615"/>
      <c r="AD1" s="1614" t="s">
        <v>175</v>
      </c>
      <c r="AE1" s="1615"/>
      <c r="AF1" s="1614" t="s">
        <v>176</v>
      </c>
      <c r="AG1" s="1615"/>
      <c r="AH1" s="1614" t="s">
        <v>392</v>
      </c>
      <c r="AI1" s="1615"/>
      <c r="AJ1" s="1614" t="s">
        <v>178</v>
      </c>
      <c r="AK1" s="1615"/>
      <c r="AL1" s="1614" t="s">
        <v>179</v>
      </c>
      <c r="AM1" s="1615"/>
      <c r="AN1" s="1614" t="s">
        <v>180</v>
      </c>
      <c r="AO1" s="1615"/>
      <c r="AP1" s="1614" t="s">
        <v>181</v>
      </c>
      <c r="AQ1" s="1615"/>
      <c r="AR1" s="1614" t="s">
        <v>457</v>
      </c>
      <c r="AS1" s="1615"/>
      <c r="AT1" s="1614" t="s">
        <v>183</v>
      </c>
      <c r="AU1" s="1616"/>
      <c r="AV1" s="1619" t="s">
        <v>1</v>
      </c>
      <c r="AW1" s="1620"/>
      <c r="AX1" s="1616" t="s">
        <v>184</v>
      </c>
      <c r="AY1" s="1615"/>
      <c r="AZ1" s="1617" t="s">
        <v>2</v>
      </c>
      <c r="BA1" s="1618"/>
    </row>
    <row r="2" spans="1:53" ht="41.25" thickBot="1">
      <c r="A2" s="1025" t="s">
        <v>0</v>
      </c>
      <c r="B2" s="587" t="s">
        <v>522</v>
      </c>
      <c r="C2" s="587" t="s">
        <v>527</v>
      </c>
      <c r="D2" s="587" t="s">
        <v>522</v>
      </c>
      <c r="E2" s="1246" t="s">
        <v>527</v>
      </c>
      <c r="F2" s="587" t="s">
        <v>522</v>
      </c>
      <c r="G2" s="1246" t="s">
        <v>527</v>
      </c>
      <c r="H2" s="587" t="s">
        <v>522</v>
      </c>
      <c r="I2" s="1246" t="s">
        <v>527</v>
      </c>
      <c r="J2" s="587" t="s">
        <v>522</v>
      </c>
      <c r="K2" s="1246" t="s">
        <v>527</v>
      </c>
      <c r="L2" s="587" t="s">
        <v>522</v>
      </c>
      <c r="M2" s="1246" t="s">
        <v>527</v>
      </c>
      <c r="N2" s="587" t="s">
        <v>522</v>
      </c>
      <c r="O2" s="1246" t="s">
        <v>527</v>
      </c>
      <c r="P2" s="587" t="s">
        <v>522</v>
      </c>
      <c r="Q2" s="1246" t="s">
        <v>527</v>
      </c>
      <c r="R2" s="587" t="s">
        <v>522</v>
      </c>
      <c r="S2" s="1246" t="s">
        <v>527</v>
      </c>
      <c r="T2" s="587" t="s">
        <v>522</v>
      </c>
      <c r="U2" s="1246" t="s">
        <v>527</v>
      </c>
      <c r="V2" s="587" t="s">
        <v>522</v>
      </c>
      <c r="W2" s="1246" t="s">
        <v>527</v>
      </c>
      <c r="X2" s="587" t="s">
        <v>522</v>
      </c>
      <c r="Y2" s="1246" t="s">
        <v>527</v>
      </c>
      <c r="Z2" s="587" t="s">
        <v>522</v>
      </c>
      <c r="AA2" s="1246" t="s">
        <v>527</v>
      </c>
      <c r="AB2" s="587" t="s">
        <v>522</v>
      </c>
      <c r="AC2" s="1246" t="s">
        <v>527</v>
      </c>
      <c r="AD2" s="587" t="s">
        <v>522</v>
      </c>
      <c r="AE2" s="1246" t="s">
        <v>527</v>
      </c>
      <c r="AF2" s="587" t="s">
        <v>522</v>
      </c>
      <c r="AG2" s="1246" t="s">
        <v>527</v>
      </c>
      <c r="AH2" s="587" t="s">
        <v>522</v>
      </c>
      <c r="AI2" s="1246" t="s">
        <v>527</v>
      </c>
      <c r="AJ2" s="587" t="s">
        <v>522</v>
      </c>
      <c r="AK2" s="1246" t="s">
        <v>527</v>
      </c>
      <c r="AL2" s="587" t="s">
        <v>522</v>
      </c>
      <c r="AM2" s="1246" t="s">
        <v>527</v>
      </c>
      <c r="AN2" s="587" t="s">
        <v>522</v>
      </c>
      <c r="AO2" s="1246" t="s">
        <v>527</v>
      </c>
      <c r="AP2" s="587" t="s">
        <v>522</v>
      </c>
      <c r="AQ2" s="1246" t="s">
        <v>527</v>
      </c>
      <c r="AR2" s="587" t="s">
        <v>522</v>
      </c>
      <c r="AS2" s="1246" t="s">
        <v>527</v>
      </c>
      <c r="AT2" s="587" t="s">
        <v>522</v>
      </c>
      <c r="AU2" s="1247" t="s">
        <v>527</v>
      </c>
      <c r="AV2" s="1279" t="s">
        <v>522</v>
      </c>
      <c r="AW2" s="1280" t="s">
        <v>527</v>
      </c>
      <c r="AX2" s="1246" t="s">
        <v>522</v>
      </c>
      <c r="AY2" s="587" t="s">
        <v>527</v>
      </c>
      <c r="AZ2" s="587" t="s">
        <v>522</v>
      </c>
      <c r="BA2" s="587" t="s">
        <v>527</v>
      </c>
    </row>
    <row r="3" spans="1:53" ht="16.5">
      <c r="A3" s="171" t="s">
        <v>458</v>
      </c>
      <c r="B3" s="171"/>
      <c r="C3" s="1027"/>
      <c r="D3" s="1028"/>
      <c r="E3" s="1028"/>
      <c r="F3" s="1028"/>
      <c r="G3" s="1028"/>
      <c r="H3" s="1028"/>
      <c r="I3" s="1028"/>
      <c r="J3" s="1028"/>
      <c r="K3" s="1028"/>
      <c r="L3" s="1028"/>
      <c r="M3" s="1028"/>
      <c r="N3" s="1028"/>
      <c r="O3" s="1028"/>
      <c r="P3" s="1028"/>
      <c r="Q3" s="1028"/>
      <c r="R3" s="1028"/>
      <c r="S3" s="1028"/>
      <c r="T3" s="1028"/>
      <c r="U3" s="1028"/>
      <c r="V3" s="1028"/>
      <c r="W3" s="1028"/>
      <c r="X3" s="1028"/>
      <c r="Y3" s="1028"/>
      <c r="Z3" s="1028"/>
      <c r="AA3" s="1028"/>
      <c r="AB3" s="1028"/>
      <c r="AC3" s="1028"/>
      <c r="AD3" s="1028"/>
      <c r="AE3" s="1028"/>
      <c r="AF3" s="1028"/>
      <c r="AG3" s="1028"/>
      <c r="AH3" s="1028"/>
      <c r="AI3" s="1028"/>
      <c r="AJ3" s="1028"/>
      <c r="AK3" s="1028"/>
      <c r="AL3" s="1028"/>
      <c r="AM3" s="1028"/>
      <c r="AN3" s="1028"/>
      <c r="AO3" s="1028"/>
      <c r="AP3" s="1028"/>
      <c r="AQ3" s="1028"/>
      <c r="AR3" s="1028"/>
      <c r="AS3" s="1028"/>
      <c r="AT3" s="1028"/>
      <c r="AU3" s="1029"/>
      <c r="AV3" s="1461"/>
      <c r="AW3" s="1462"/>
      <c r="AX3" s="1029"/>
      <c r="AY3" s="1027"/>
      <c r="AZ3" s="1027"/>
      <c r="BA3" s="1027"/>
    </row>
    <row r="4" spans="1:53" ht="16.5">
      <c r="A4" s="107" t="s">
        <v>459</v>
      </c>
      <c r="B4" s="107"/>
      <c r="C4" s="813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  <c r="AA4" s="812"/>
      <c r="AB4" s="812"/>
      <c r="AC4" s="812"/>
      <c r="AD4" s="812"/>
      <c r="AE4" s="812"/>
      <c r="AF4" s="812"/>
      <c r="AG4" s="812"/>
      <c r="AH4" s="812"/>
      <c r="AI4" s="812"/>
      <c r="AJ4" s="812"/>
      <c r="AK4" s="812"/>
      <c r="AL4" s="812"/>
      <c r="AM4" s="812"/>
      <c r="AN4" s="812"/>
      <c r="AO4" s="812"/>
      <c r="AP4" s="812"/>
      <c r="AQ4" s="812"/>
      <c r="AR4" s="812"/>
      <c r="AS4" s="812"/>
      <c r="AT4" s="812"/>
      <c r="AU4" s="818"/>
      <c r="AV4" s="1275"/>
      <c r="AW4" s="1276"/>
      <c r="AX4" s="1029"/>
      <c r="AY4" s="813"/>
      <c r="AZ4" s="813"/>
      <c r="BA4" s="813"/>
    </row>
    <row r="5" spans="1:53" ht="16.5">
      <c r="A5" s="107" t="s">
        <v>460</v>
      </c>
      <c r="B5" s="107">
        <f>C5</f>
        <v>19012080</v>
      </c>
      <c r="C5" s="1030">
        <v>19012080</v>
      </c>
      <c r="D5" s="819">
        <v>14682520</v>
      </c>
      <c r="E5" s="812">
        <v>14655990</v>
      </c>
      <c r="F5" s="812">
        <v>20049000</v>
      </c>
      <c r="G5" s="812">
        <v>20049000</v>
      </c>
      <c r="H5" s="812">
        <f>I5</f>
        <v>1507090</v>
      </c>
      <c r="I5" s="812">
        <v>1507090</v>
      </c>
      <c r="J5" s="812">
        <v>30862010</v>
      </c>
      <c r="K5" s="812">
        <v>28912010</v>
      </c>
      <c r="L5" s="812">
        <f>M5</f>
        <v>9500000</v>
      </c>
      <c r="M5" s="812">
        <v>9500000</v>
      </c>
      <c r="N5" s="812">
        <f>O5</f>
        <v>3740619</v>
      </c>
      <c r="O5" s="812">
        <v>3740619</v>
      </c>
      <c r="P5" s="812">
        <f>Q5</f>
        <v>3126209</v>
      </c>
      <c r="Q5" s="812">
        <v>3126209</v>
      </c>
      <c r="R5" s="812">
        <f>S5</f>
        <v>18500000</v>
      </c>
      <c r="S5" s="812">
        <v>18500000</v>
      </c>
      <c r="T5" s="812">
        <v>19658210</v>
      </c>
      <c r="U5" s="812">
        <v>19358206</v>
      </c>
      <c r="V5" s="812">
        <v>20209440</v>
      </c>
      <c r="W5" s="812">
        <v>20187984</v>
      </c>
      <c r="X5" s="812">
        <v>14359742</v>
      </c>
      <c r="Y5" s="812">
        <v>14358626</v>
      </c>
      <c r="Z5" s="812">
        <f>AA5</f>
        <v>8000000</v>
      </c>
      <c r="AA5" s="812">
        <v>8000000</v>
      </c>
      <c r="AB5" s="812">
        <v>6634615.39</v>
      </c>
      <c r="AC5" s="812">
        <v>6350000</v>
      </c>
      <c r="AD5" s="812">
        <f>AE5</f>
        <v>5102902</v>
      </c>
      <c r="AE5" s="812">
        <v>5102902</v>
      </c>
      <c r="AF5" s="812">
        <v>19188129</v>
      </c>
      <c r="AG5" s="812">
        <v>19188129</v>
      </c>
      <c r="AH5" s="812"/>
      <c r="AI5" s="812">
        <v>20128843</v>
      </c>
      <c r="AJ5" s="812">
        <v>11963235</v>
      </c>
      <c r="AK5" s="812">
        <v>11963235</v>
      </c>
      <c r="AL5" s="812"/>
      <c r="AM5" s="812"/>
      <c r="AN5" s="812">
        <v>10000709</v>
      </c>
      <c r="AO5" s="812">
        <v>10000263</v>
      </c>
      <c r="AP5" s="812">
        <v>1763897</v>
      </c>
      <c r="AQ5" s="812">
        <v>1757279</v>
      </c>
      <c r="AR5" s="812">
        <f>AS5</f>
        <v>2589641</v>
      </c>
      <c r="AS5" s="812">
        <v>2589641</v>
      </c>
      <c r="AT5" s="812">
        <f>AU5</f>
        <v>19535000</v>
      </c>
      <c r="AU5" s="818">
        <v>19535000</v>
      </c>
      <c r="AV5" s="1275">
        <f aca="true" t="shared" si="0" ref="AV5:AW36">SUM(B5+D5+F5+H5+J5+L5+N5+P5+R5+T5+V5+X5+Z5+AB5+AD5+AF5+AH5+AJ5+AL5+AN5+AP5+AR5+AT5)</f>
        <v>259985048.39</v>
      </c>
      <c r="AW5" s="1276">
        <f t="shared" si="0"/>
        <v>277523106</v>
      </c>
      <c r="AX5" s="818">
        <v>1000000</v>
      </c>
      <c r="AY5" s="813">
        <f>AX5</f>
        <v>1000000</v>
      </c>
      <c r="AZ5" s="813">
        <f aca="true" t="shared" si="1" ref="AZ5:BA68">AV5+AX5</f>
        <v>260985048.39</v>
      </c>
      <c r="BA5" s="813">
        <f t="shared" si="1"/>
        <v>278523106</v>
      </c>
    </row>
    <row r="6" spans="1:53" ht="16.5">
      <c r="A6" s="107" t="s">
        <v>461</v>
      </c>
      <c r="B6" s="107"/>
      <c r="C6" s="1030"/>
      <c r="D6" s="819"/>
      <c r="E6" s="812"/>
      <c r="F6" s="812"/>
      <c r="G6" s="812"/>
      <c r="H6" s="812"/>
      <c r="I6" s="812"/>
      <c r="J6" s="812"/>
      <c r="K6" s="812"/>
      <c r="L6" s="812"/>
      <c r="M6" s="812"/>
      <c r="N6" s="812"/>
      <c r="O6" s="812"/>
      <c r="P6" s="812"/>
      <c r="Q6" s="812"/>
      <c r="R6" s="812"/>
      <c r="S6" s="812"/>
      <c r="T6" s="812"/>
      <c r="U6" s="812"/>
      <c r="V6" s="812">
        <v>19711</v>
      </c>
      <c r="W6" s="812">
        <v>55918</v>
      </c>
      <c r="X6" s="812"/>
      <c r="Y6" s="812"/>
      <c r="Z6" s="812"/>
      <c r="AA6" s="812"/>
      <c r="AB6" s="812"/>
      <c r="AC6" s="812"/>
      <c r="AD6" s="812"/>
      <c r="AE6" s="812"/>
      <c r="AF6" s="812"/>
      <c r="AG6" s="812"/>
      <c r="AH6" s="812"/>
      <c r="AI6" s="812"/>
      <c r="AJ6" s="812"/>
      <c r="AK6" s="812"/>
      <c r="AL6" s="812"/>
      <c r="AM6" s="812"/>
      <c r="AN6" s="812"/>
      <c r="AO6" s="812"/>
      <c r="AP6" s="812"/>
      <c r="AQ6" s="812"/>
      <c r="AR6" s="812"/>
      <c r="AS6" s="812"/>
      <c r="AT6" s="812"/>
      <c r="AU6" s="818"/>
      <c r="AV6" s="1275">
        <f t="shared" si="0"/>
        <v>19711</v>
      </c>
      <c r="AW6" s="1276">
        <f t="shared" si="0"/>
        <v>55918</v>
      </c>
      <c r="AX6" s="818"/>
      <c r="AY6" s="813"/>
      <c r="AZ6" s="813">
        <f t="shared" si="1"/>
        <v>19711</v>
      </c>
      <c r="BA6" s="813">
        <f t="shared" si="1"/>
        <v>55918</v>
      </c>
    </row>
    <row r="7" spans="1:53" ht="16.5">
      <c r="A7" s="107" t="s">
        <v>462</v>
      </c>
      <c r="B7" s="107">
        <v>4415053</v>
      </c>
      <c r="C7" s="1030">
        <v>3003737</v>
      </c>
      <c r="D7" s="819">
        <v>8961705</v>
      </c>
      <c r="E7" s="812">
        <v>7674705</v>
      </c>
      <c r="F7" s="812"/>
      <c r="G7" s="812"/>
      <c r="H7" s="812">
        <v>101905722</v>
      </c>
      <c r="I7" s="812">
        <v>97693747</v>
      </c>
      <c r="J7" s="812">
        <v>2167548</v>
      </c>
      <c r="K7" s="812">
        <v>2121557</v>
      </c>
      <c r="L7" s="812">
        <v>3301273</v>
      </c>
      <c r="M7" s="812">
        <v>2355083</v>
      </c>
      <c r="N7" s="812">
        <v>8329217</v>
      </c>
      <c r="O7" s="812">
        <v>8329217</v>
      </c>
      <c r="P7" s="812">
        <v>16848478</v>
      </c>
      <c r="Q7" s="812">
        <v>16882622</v>
      </c>
      <c r="R7" s="812"/>
      <c r="S7" s="812"/>
      <c r="T7" s="812">
        <v>999996</v>
      </c>
      <c r="U7" s="812"/>
      <c r="V7" s="812">
        <v>64073690</v>
      </c>
      <c r="W7" s="812">
        <v>49675008</v>
      </c>
      <c r="X7" s="812">
        <v>70569644</v>
      </c>
      <c r="Y7" s="812">
        <v>60994251</v>
      </c>
      <c r="Z7" s="812">
        <v>2386071</v>
      </c>
      <c r="AA7" s="812">
        <v>1191627</v>
      </c>
      <c r="AB7" s="812">
        <v>2800000</v>
      </c>
      <c r="AC7" s="812">
        <v>2800000</v>
      </c>
      <c r="AD7" s="812">
        <v>35351808</v>
      </c>
      <c r="AE7" s="812">
        <v>28432496</v>
      </c>
      <c r="AF7" s="812">
        <v>10589085</v>
      </c>
      <c r="AG7" s="812">
        <v>6805838</v>
      </c>
      <c r="AH7" s="812"/>
      <c r="AI7" s="812"/>
      <c r="AJ7" s="812">
        <v>3031592</v>
      </c>
      <c r="AK7" s="812">
        <v>3031592</v>
      </c>
      <c r="AL7" s="812"/>
      <c r="AM7" s="812"/>
      <c r="AN7" s="812">
        <v>90926418</v>
      </c>
      <c r="AO7" s="812">
        <v>78838921</v>
      </c>
      <c r="AP7" s="812">
        <v>5486265</v>
      </c>
      <c r="AQ7" s="812">
        <v>4714639</v>
      </c>
      <c r="AR7" s="812">
        <v>4620213</v>
      </c>
      <c r="AS7" s="812">
        <v>3965747</v>
      </c>
      <c r="AT7" s="812">
        <v>2072379</v>
      </c>
      <c r="AU7" s="818">
        <v>1601322</v>
      </c>
      <c r="AV7" s="1275">
        <f t="shared" si="0"/>
        <v>438836157</v>
      </c>
      <c r="AW7" s="1276">
        <f t="shared" si="0"/>
        <v>380112109</v>
      </c>
      <c r="AX7" s="818">
        <v>62249977</v>
      </c>
      <c r="AY7" s="813">
        <v>6220010</v>
      </c>
      <c r="AZ7" s="813">
        <f t="shared" si="1"/>
        <v>501086134</v>
      </c>
      <c r="BA7" s="813">
        <f t="shared" si="1"/>
        <v>386332119</v>
      </c>
    </row>
    <row r="8" spans="1:53" ht="16.5">
      <c r="A8" s="107" t="s">
        <v>463</v>
      </c>
      <c r="B8" s="107">
        <v>555181</v>
      </c>
      <c r="C8" s="1030">
        <v>-18009</v>
      </c>
      <c r="D8" s="819"/>
      <c r="E8" s="812"/>
      <c r="F8" s="812">
        <v>10669</v>
      </c>
      <c r="G8" s="812">
        <v>-76757</v>
      </c>
      <c r="H8" s="812">
        <v>3941723</v>
      </c>
      <c r="I8" s="812">
        <v>-1893725</v>
      </c>
      <c r="J8" s="812">
        <v>26949</v>
      </c>
      <c r="K8" s="812">
        <v>-76149</v>
      </c>
      <c r="L8" s="812">
        <v>-57696</v>
      </c>
      <c r="M8" s="812">
        <v>34330</v>
      </c>
      <c r="N8" s="812">
        <v>12524</v>
      </c>
      <c r="O8" s="812">
        <v>-341850</v>
      </c>
      <c r="P8" s="812">
        <v>139519</v>
      </c>
      <c r="Q8" s="812">
        <v>-30102</v>
      </c>
      <c r="R8" s="812">
        <v>485</v>
      </c>
      <c r="S8" s="812">
        <v>1</v>
      </c>
      <c r="T8" s="812">
        <v>-4159</v>
      </c>
      <c r="U8" s="812">
        <v>-35957</v>
      </c>
      <c r="V8" s="812">
        <v>2074376</v>
      </c>
      <c r="W8" s="812">
        <v>-1919672</v>
      </c>
      <c r="X8" s="812">
        <v>6157692</v>
      </c>
      <c r="Y8" s="812">
        <v>-3228268</v>
      </c>
      <c r="Z8" s="812">
        <v>19462</v>
      </c>
      <c r="AA8" s="812">
        <v>-123426</v>
      </c>
      <c r="AB8" s="812">
        <v>11561.03</v>
      </c>
      <c r="AC8" s="812">
        <v>12173</v>
      </c>
      <c r="AD8" s="812">
        <v>-4768</v>
      </c>
      <c r="AE8" s="812">
        <v>-2623</v>
      </c>
      <c r="AF8" s="812">
        <v>301337</v>
      </c>
      <c r="AG8" s="812">
        <v>-255072</v>
      </c>
      <c r="AH8" s="812"/>
      <c r="AI8" s="812">
        <v>-38436</v>
      </c>
      <c r="AJ8" s="812">
        <v>193650</v>
      </c>
      <c r="AK8" s="812">
        <v>-567418</v>
      </c>
      <c r="AL8" s="812"/>
      <c r="AM8" s="812"/>
      <c r="AN8" s="812">
        <v>3077237</v>
      </c>
      <c r="AO8" s="812">
        <v>-1408346</v>
      </c>
      <c r="AP8" s="812">
        <v>290379</v>
      </c>
      <c r="AQ8" s="812">
        <v>-334693</v>
      </c>
      <c r="AR8" s="812">
        <v>-5650</v>
      </c>
      <c r="AS8" s="812">
        <v>13785</v>
      </c>
      <c r="AT8" s="812"/>
      <c r="AU8" s="818"/>
      <c r="AV8" s="1275">
        <f t="shared" si="0"/>
        <v>16740471.03</v>
      </c>
      <c r="AW8" s="1276">
        <f t="shared" si="0"/>
        <v>-10290214</v>
      </c>
      <c r="AX8" s="818">
        <v>356945</v>
      </c>
      <c r="AY8" s="813">
        <v>175259</v>
      </c>
      <c r="AZ8" s="813">
        <f t="shared" si="1"/>
        <v>17097416.03</v>
      </c>
      <c r="BA8" s="813">
        <f t="shared" si="1"/>
        <v>-10114955</v>
      </c>
    </row>
    <row r="9" spans="1:53" ht="16.5">
      <c r="A9" s="107" t="s">
        <v>464</v>
      </c>
      <c r="B9" s="107"/>
      <c r="C9" s="1030"/>
      <c r="D9" s="819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812"/>
      <c r="S9" s="812"/>
      <c r="T9" s="812"/>
      <c r="U9" s="812"/>
      <c r="V9" s="812"/>
      <c r="W9" s="812"/>
      <c r="X9" s="812">
        <v>7</v>
      </c>
      <c r="Y9" s="812">
        <v>20</v>
      </c>
      <c r="Z9" s="812"/>
      <c r="AA9" s="812"/>
      <c r="AB9" s="812"/>
      <c r="AC9" s="812"/>
      <c r="AD9" s="812"/>
      <c r="AE9" s="812"/>
      <c r="AF9" s="812"/>
      <c r="AG9" s="812"/>
      <c r="AH9" s="812"/>
      <c r="AI9" s="812"/>
      <c r="AJ9" s="812"/>
      <c r="AK9" s="812"/>
      <c r="AL9" s="812"/>
      <c r="AM9" s="812"/>
      <c r="AN9" s="812"/>
      <c r="AO9" s="812"/>
      <c r="AP9" s="812"/>
      <c r="AQ9" s="812"/>
      <c r="AR9" s="812"/>
      <c r="AS9" s="812"/>
      <c r="AT9" s="812"/>
      <c r="AU9" s="818"/>
      <c r="AV9" s="1275">
        <f t="shared" si="0"/>
        <v>7</v>
      </c>
      <c r="AW9" s="1276">
        <f t="shared" si="0"/>
        <v>20</v>
      </c>
      <c r="AX9" s="818"/>
      <c r="AY9" s="813"/>
      <c r="AZ9" s="813">
        <f t="shared" si="1"/>
        <v>7</v>
      </c>
      <c r="BA9" s="813">
        <f t="shared" si="1"/>
        <v>20</v>
      </c>
    </row>
    <row r="10" spans="1:53" ht="18">
      <c r="A10" s="134" t="s">
        <v>465</v>
      </c>
      <c r="B10" s="134">
        <v>23982314</v>
      </c>
      <c r="C10" s="1031">
        <f aca="true" t="shared" si="2" ref="C10:W10">SUM(C5:C8)</f>
        <v>21997808</v>
      </c>
      <c r="D10" s="1032">
        <v>23644225</v>
      </c>
      <c r="E10" s="1032">
        <f t="shared" si="2"/>
        <v>22330695</v>
      </c>
      <c r="F10" s="1032">
        <v>20059669</v>
      </c>
      <c r="G10" s="1032">
        <f t="shared" si="2"/>
        <v>19972243</v>
      </c>
      <c r="H10" s="1032">
        <v>107354535</v>
      </c>
      <c r="I10" s="1032">
        <f t="shared" si="2"/>
        <v>97307112</v>
      </c>
      <c r="J10" s="1032">
        <v>33056507</v>
      </c>
      <c r="K10" s="1032">
        <f t="shared" si="2"/>
        <v>30957418</v>
      </c>
      <c r="L10" s="1032">
        <v>12743577</v>
      </c>
      <c r="M10" s="1032">
        <f t="shared" si="2"/>
        <v>11889413</v>
      </c>
      <c r="N10" s="1032">
        <v>12082360</v>
      </c>
      <c r="O10" s="1032">
        <f t="shared" si="2"/>
        <v>11727986</v>
      </c>
      <c r="P10" s="1032">
        <v>20114206</v>
      </c>
      <c r="Q10" s="1032">
        <f t="shared" si="2"/>
        <v>19978729</v>
      </c>
      <c r="R10" s="1032">
        <v>18500485</v>
      </c>
      <c r="S10" s="1032">
        <f t="shared" si="2"/>
        <v>18500001</v>
      </c>
      <c r="T10" s="1032">
        <f t="shared" si="2"/>
        <v>20654047</v>
      </c>
      <c r="U10" s="1032">
        <f t="shared" si="2"/>
        <v>19322249</v>
      </c>
      <c r="V10" s="1032">
        <v>86377217</v>
      </c>
      <c r="W10" s="1032">
        <f t="shared" si="2"/>
        <v>67999238</v>
      </c>
      <c r="X10" s="1032">
        <v>91092628</v>
      </c>
      <c r="Y10" s="1032">
        <f>SUM(Y5:Y9)</f>
        <v>72124629</v>
      </c>
      <c r="Z10" s="1032">
        <v>10405533</v>
      </c>
      <c r="AA10" s="1032">
        <f aca="true" t="shared" si="3" ref="AA10:AU10">SUM(AA5:AA8)</f>
        <v>9068201</v>
      </c>
      <c r="AB10" s="1032">
        <v>6446176.42</v>
      </c>
      <c r="AC10" s="1032">
        <f t="shared" si="3"/>
        <v>9162173</v>
      </c>
      <c r="AD10" s="1032">
        <v>40449942</v>
      </c>
      <c r="AE10" s="1032">
        <f t="shared" si="3"/>
        <v>33532775</v>
      </c>
      <c r="AF10" s="1032">
        <v>30078551</v>
      </c>
      <c r="AG10" s="1032">
        <f t="shared" si="3"/>
        <v>25738895</v>
      </c>
      <c r="AH10" s="1032"/>
      <c r="AI10" s="1032">
        <f t="shared" si="3"/>
        <v>20090407</v>
      </c>
      <c r="AJ10" s="1032">
        <v>15188477</v>
      </c>
      <c r="AK10" s="1032">
        <f t="shared" si="3"/>
        <v>14427409</v>
      </c>
      <c r="AL10" s="1032"/>
      <c r="AM10" s="1032">
        <f t="shared" si="3"/>
        <v>0</v>
      </c>
      <c r="AN10" s="1032">
        <v>104004364</v>
      </c>
      <c r="AO10" s="1032">
        <f t="shared" si="3"/>
        <v>87430838</v>
      </c>
      <c r="AP10" s="1032">
        <v>7540540</v>
      </c>
      <c r="AQ10" s="1032">
        <f t="shared" si="3"/>
        <v>6137225</v>
      </c>
      <c r="AR10" s="1032">
        <v>7204204</v>
      </c>
      <c r="AS10" s="1032">
        <f t="shared" si="3"/>
        <v>6569173</v>
      </c>
      <c r="AT10" s="1032">
        <v>21607379</v>
      </c>
      <c r="AU10" s="1248">
        <f t="shared" si="3"/>
        <v>21136322</v>
      </c>
      <c r="AV10" s="1275">
        <f t="shared" si="0"/>
        <v>712586936.4200001</v>
      </c>
      <c r="AW10" s="1276">
        <f t="shared" si="0"/>
        <v>647400939</v>
      </c>
      <c r="AX10" s="818">
        <f>SUM(AX5:AX9)</f>
        <v>63606922</v>
      </c>
      <c r="AY10" s="1033">
        <f>SUM(AY5:AY9)</f>
        <v>7395269</v>
      </c>
      <c r="AZ10" s="813">
        <f t="shared" si="1"/>
        <v>776193858.4200001</v>
      </c>
      <c r="BA10" s="813">
        <f t="shared" si="1"/>
        <v>654796208</v>
      </c>
    </row>
    <row r="11" spans="1:53" ht="16.5">
      <c r="A11" s="107" t="s">
        <v>466</v>
      </c>
      <c r="B11" s="107"/>
      <c r="C11" s="1030"/>
      <c r="D11" s="819">
        <f>E11</f>
        <v>700000</v>
      </c>
      <c r="E11" s="812">
        <v>700000</v>
      </c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>
        <v>300000</v>
      </c>
      <c r="U11" s="812"/>
      <c r="V11" s="812">
        <v>6000000</v>
      </c>
      <c r="W11" s="812"/>
      <c r="X11" s="812">
        <v>12000000</v>
      </c>
      <c r="Y11" s="812"/>
      <c r="Z11" s="812"/>
      <c r="AA11" s="812"/>
      <c r="AB11" s="812">
        <v>1000000</v>
      </c>
      <c r="AC11" s="812">
        <v>1000000</v>
      </c>
      <c r="AD11" s="812"/>
      <c r="AE11" s="812"/>
      <c r="AF11" s="812"/>
      <c r="AG11" s="812"/>
      <c r="AH11" s="812"/>
      <c r="AI11" s="812"/>
      <c r="AJ11" s="812"/>
      <c r="AK11" s="812"/>
      <c r="AL11" s="812"/>
      <c r="AM11" s="812"/>
      <c r="AN11" s="812"/>
      <c r="AO11" s="812"/>
      <c r="AP11" s="812"/>
      <c r="AQ11" s="812"/>
      <c r="AR11" s="812"/>
      <c r="AS11" s="812"/>
      <c r="AT11" s="812"/>
      <c r="AU11" s="818"/>
      <c r="AV11" s="1275">
        <f t="shared" si="0"/>
        <v>20000000</v>
      </c>
      <c r="AW11" s="1276">
        <f t="shared" si="0"/>
        <v>1700000</v>
      </c>
      <c r="AX11" s="818"/>
      <c r="AY11" s="813"/>
      <c r="AZ11" s="813">
        <f t="shared" si="1"/>
        <v>20000000</v>
      </c>
      <c r="BA11" s="813">
        <f t="shared" si="1"/>
        <v>1700000</v>
      </c>
    </row>
    <row r="12" spans="1:53" ht="16.5">
      <c r="A12" s="134" t="s">
        <v>467</v>
      </c>
      <c r="B12" s="134"/>
      <c r="C12" s="1030"/>
      <c r="D12" s="819"/>
      <c r="E12" s="812"/>
      <c r="F12" s="812"/>
      <c r="G12" s="812"/>
      <c r="H12" s="812"/>
      <c r="I12" s="812"/>
      <c r="J12" s="812">
        <v>600000</v>
      </c>
      <c r="K12" s="812">
        <v>600000</v>
      </c>
      <c r="L12" s="812"/>
      <c r="M12" s="812"/>
      <c r="N12" s="812"/>
      <c r="O12" s="812"/>
      <c r="P12" s="812"/>
      <c r="Q12" s="812"/>
      <c r="R12" s="812"/>
      <c r="S12" s="812"/>
      <c r="T12" s="812"/>
      <c r="U12" s="812"/>
      <c r="V12" s="812"/>
      <c r="W12" s="812"/>
      <c r="X12" s="812"/>
      <c r="Y12" s="812"/>
      <c r="Z12" s="812"/>
      <c r="AA12" s="812"/>
      <c r="AB12" s="812"/>
      <c r="AC12" s="812"/>
      <c r="AD12" s="812"/>
      <c r="AE12" s="812"/>
      <c r="AF12" s="812"/>
      <c r="AG12" s="812"/>
      <c r="AH12" s="812"/>
      <c r="AI12" s="812"/>
      <c r="AJ12" s="812"/>
      <c r="AK12" s="812"/>
      <c r="AL12" s="812"/>
      <c r="AM12" s="812"/>
      <c r="AN12" s="812"/>
      <c r="AO12" s="812"/>
      <c r="AP12" s="812"/>
      <c r="AQ12" s="812"/>
      <c r="AR12" s="812"/>
      <c r="AS12" s="812"/>
      <c r="AT12" s="812"/>
      <c r="AU12" s="818"/>
      <c r="AV12" s="1275">
        <f t="shared" si="0"/>
        <v>600000</v>
      </c>
      <c r="AW12" s="1276">
        <f t="shared" si="0"/>
        <v>600000</v>
      </c>
      <c r="AX12" s="818"/>
      <c r="AY12" s="813"/>
      <c r="AZ12" s="813">
        <f t="shared" si="1"/>
        <v>600000</v>
      </c>
      <c r="BA12" s="813">
        <f t="shared" si="1"/>
        <v>600000</v>
      </c>
    </row>
    <row r="13" spans="1:53" ht="16.5">
      <c r="A13" s="107" t="s">
        <v>463</v>
      </c>
      <c r="B13" s="107">
        <v>2575946</v>
      </c>
      <c r="C13" s="1030">
        <v>-746127</v>
      </c>
      <c r="D13" s="819">
        <v>8213</v>
      </c>
      <c r="E13" s="812">
        <v>-89425</v>
      </c>
      <c r="F13" s="812">
        <v>88126</v>
      </c>
      <c r="G13" s="812">
        <v>-554742</v>
      </c>
      <c r="H13" s="812">
        <v>17984190</v>
      </c>
      <c r="I13" s="812">
        <v>1488680</v>
      </c>
      <c r="J13" s="812">
        <v>562248</v>
      </c>
      <c r="K13" s="812">
        <v>-188448</v>
      </c>
      <c r="L13" s="812">
        <v>108706</v>
      </c>
      <c r="M13" s="812">
        <v>-249972</v>
      </c>
      <c r="N13" s="812">
        <v>11413</v>
      </c>
      <c r="O13" s="812">
        <v>12240</v>
      </c>
      <c r="P13" s="812">
        <v>467542</v>
      </c>
      <c r="Q13" s="812">
        <v>67260</v>
      </c>
      <c r="R13" s="812">
        <v>704526</v>
      </c>
      <c r="S13" s="812">
        <v>-1075024</v>
      </c>
      <c r="T13" s="812">
        <v>-15926</v>
      </c>
      <c r="U13" s="812">
        <v>-205035</v>
      </c>
      <c r="V13" s="812">
        <v>25550083</v>
      </c>
      <c r="W13" s="812">
        <v>496009</v>
      </c>
      <c r="X13" s="812">
        <v>29934913</v>
      </c>
      <c r="Y13" s="812">
        <v>-2525304</v>
      </c>
      <c r="Z13" s="812">
        <v>195293</v>
      </c>
      <c r="AA13" s="812">
        <v>-819963</v>
      </c>
      <c r="AB13" s="812">
        <v>161873.37</v>
      </c>
      <c r="AC13" s="812">
        <v>-243574</v>
      </c>
      <c r="AD13" s="812">
        <v>1228329</v>
      </c>
      <c r="AE13" s="812">
        <v>-98476</v>
      </c>
      <c r="AF13" s="812">
        <v>9636029</v>
      </c>
      <c r="AG13" s="812">
        <v>-5724369</v>
      </c>
      <c r="AH13" s="812"/>
      <c r="AI13" s="812">
        <v>-718438</v>
      </c>
      <c r="AJ13" s="812">
        <v>944229</v>
      </c>
      <c r="AK13" s="812">
        <v>-3949334</v>
      </c>
      <c r="AL13" s="812"/>
      <c r="AM13" s="812"/>
      <c r="AN13" s="812">
        <v>27268135</v>
      </c>
      <c r="AO13" s="812">
        <v>-15871946</v>
      </c>
      <c r="AP13" s="812">
        <v>444989</v>
      </c>
      <c r="AQ13" s="812">
        <v>-458785</v>
      </c>
      <c r="AR13" s="812">
        <v>-17571</v>
      </c>
      <c r="AS13" s="812">
        <v>-392108</v>
      </c>
      <c r="AT13" s="812">
        <v>13921263</v>
      </c>
      <c r="AU13" s="818">
        <v>2383140</v>
      </c>
      <c r="AV13" s="1275">
        <f t="shared" si="0"/>
        <v>131762549.37</v>
      </c>
      <c r="AW13" s="1276">
        <f t="shared" si="0"/>
        <v>-29463741</v>
      </c>
      <c r="AX13" s="818">
        <v>2728707907</v>
      </c>
      <c r="AY13" s="813">
        <v>-43405372</v>
      </c>
      <c r="AZ13" s="813">
        <f t="shared" si="1"/>
        <v>2860470456.37</v>
      </c>
      <c r="BA13" s="813">
        <f t="shared" si="1"/>
        <v>-72869113</v>
      </c>
    </row>
    <row r="14" spans="1:53" ht="16.5">
      <c r="A14" s="107" t="s">
        <v>468</v>
      </c>
      <c r="B14" s="107"/>
      <c r="C14" s="1030"/>
      <c r="D14" s="819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  <c r="R14" s="812"/>
      <c r="S14" s="812"/>
      <c r="T14" s="812"/>
      <c r="U14" s="812"/>
      <c r="V14" s="812"/>
      <c r="W14" s="812"/>
      <c r="X14" s="812">
        <v>686679</v>
      </c>
      <c r="Y14" s="812">
        <v>655199</v>
      </c>
      <c r="Z14" s="812"/>
      <c r="AA14" s="812"/>
      <c r="AB14" s="812"/>
      <c r="AC14" s="812"/>
      <c r="AD14" s="812">
        <v>497369</v>
      </c>
      <c r="AE14" s="812">
        <v>433139</v>
      </c>
      <c r="AF14" s="812">
        <v>22248</v>
      </c>
      <c r="AG14" s="812">
        <v>22248</v>
      </c>
      <c r="AH14" s="812"/>
      <c r="AI14" s="812"/>
      <c r="AJ14" s="812"/>
      <c r="AK14" s="812"/>
      <c r="AL14" s="812"/>
      <c r="AM14" s="812"/>
      <c r="AN14" s="812"/>
      <c r="AO14" s="812"/>
      <c r="AP14" s="812"/>
      <c r="AQ14" s="812"/>
      <c r="AR14" s="812"/>
      <c r="AS14" s="812"/>
      <c r="AT14" s="812"/>
      <c r="AU14" s="818"/>
      <c r="AV14" s="1275">
        <f t="shared" si="0"/>
        <v>1206296</v>
      </c>
      <c r="AW14" s="1276">
        <f t="shared" si="0"/>
        <v>1110586</v>
      </c>
      <c r="AX14" s="818"/>
      <c r="AY14" s="813"/>
      <c r="AZ14" s="813">
        <f t="shared" si="1"/>
        <v>1206296</v>
      </c>
      <c r="BA14" s="813">
        <f t="shared" si="1"/>
        <v>1110586</v>
      </c>
    </row>
    <row r="15" spans="1:53" ht="16.5">
      <c r="A15" s="107" t="s">
        <v>469</v>
      </c>
      <c r="B15" s="107"/>
      <c r="C15" s="1030"/>
      <c r="D15" s="819"/>
      <c r="E15" s="812"/>
      <c r="F15" s="812"/>
      <c r="G15" s="812"/>
      <c r="H15" s="812">
        <v>322643562</v>
      </c>
      <c r="I15" s="812">
        <v>268957413</v>
      </c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  <c r="U15" s="812"/>
      <c r="V15" s="812"/>
      <c r="W15" s="812"/>
      <c r="X15" s="812">
        <v>602155594</v>
      </c>
      <c r="Y15" s="812">
        <v>473556242</v>
      </c>
      <c r="Z15" s="812"/>
      <c r="AA15" s="812"/>
      <c r="AB15" s="812"/>
      <c r="AC15" s="812"/>
      <c r="AD15" s="812"/>
      <c r="AE15" s="812"/>
      <c r="AF15" s="812"/>
      <c r="AG15" s="812"/>
      <c r="AH15" s="812"/>
      <c r="AI15" s="812"/>
      <c r="AJ15" s="812"/>
      <c r="AK15" s="812"/>
      <c r="AL15" s="812"/>
      <c r="AM15" s="812"/>
      <c r="AN15" s="812"/>
      <c r="AO15" s="812"/>
      <c r="AP15" s="812"/>
      <c r="AQ15" s="812"/>
      <c r="AR15" s="812"/>
      <c r="AS15" s="812"/>
      <c r="AT15" s="812"/>
      <c r="AU15" s="818"/>
      <c r="AV15" s="1275">
        <f t="shared" si="0"/>
        <v>924799156</v>
      </c>
      <c r="AW15" s="1276">
        <f t="shared" si="0"/>
        <v>742513655</v>
      </c>
      <c r="AX15" s="818"/>
      <c r="AY15" s="813"/>
      <c r="AZ15" s="813">
        <f t="shared" si="1"/>
        <v>924799156</v>
      </c>
      <c r="BA15" s="813">
        <f t="shared" si="1"/>
        <v>742513655</v>
      </c>
    </row>
    <row r="16" spans="1:53" ht="16.5">
      <c r="A16" s="134" t="s">
        <v>470</v>
      </c>
      <c r="B16" s="134">
        <v>224863412</v>
      </c>
      <c r="C16" s="1030">
        <v>171245026</v>
      </c>
      <c r="D16" s="819">
        <v>18238311</v>
      </c>
      <c r="E16" s="812">
        <v>15226081</v>
      </c>
      <c r="F16" s="812">
        <f>302184+6695+247630+10403+62077772+1811976+430342+28365+543552+153191+165440</f>
        <v>65777550</v>
      </c>
      <c r="G16" s="812">
        <f>255362+15018+3+198823+12077+54092419+1664829+395631+890753+467617+143386+114686</f>
        <v>58250604</v>
      </c>
      <c r="H16" s="812"/>
      <c r="I16" s="812"/>
      <c r="J16" s="812">
        <v>73857538</v>
      </c>
      <c r="K16" s="812">
        <v>58633685</v>
      </c>
      <c r="L16" s="812">
        <v>82768661</v>
      </c>
      <c r="M16" s="812">
        <v>59820601</v>
      </c>
      <c r="N16" s="812">
        <v>43250422</v>
      </c>
      <c r="O16" s="812">
        <v>38078450</v>
      </c>
      <c r="P16" s="812">
        <v>26550713</v>
      </c>
      <c r="Q16" s="812">
        <v>19952227</v>
      </c>
      <c r="R16" s="812">
        <f>88603606+215799+69811044+1941017+7874109+10516232</f>
        <v>178961807</v>
      </c>
      <c r="S16" s="812">
        <f>77640765+119850+30313579+1332253+8428237+9944865</f>
        <v>127779549</v>
      </c>
      <c r="T16" s="812">
        <v>42531555</v>
      </c>
      <c r="U16" s="812">
        <v>36040198</v>
      </c>
      <c r="V16" s="812">
        <v>855230210</v>
      </c>
      <c r="W16" s="812">
        <v>652708146</v>
      </c>
      <c r="X16" s="812">
        <v>1987647025</v>
      </c>
      <c r="Y16" s="812">
        <v>1444406009</v>
      </c>
      <c r="Z16" s="812">
        <v>76016763</v>
      </c>
      <c r="AA16" s="812">
        <v>65900134</v>
      </c>
      <c r="AB16" s="812">
        <v>102156573.34</v>
      </c>
      <c r="AC16" s="812">
        <v>99165208</v>
      </c>
      <c r="AD16" s="812">
        <v>223333282</v>
      </c>
      <c r="AE16" s="812">
        <v>178607126</v>
      </c>
      <c r="AF16" s="812">
        <v>558936346</v>
      </c>
      <c r="AG16" s="812">
        <v>454807482</v>
      </c>
      <c r="AH16" s="812"/>
      <c r="AI16" s="812">
        <v>157969292</v>
      </c>
      <c r="AJ16" s="812">
        <v>168871866</v>
      </c>
      <c r="AK16" s="812">
        <v>147796199</v>
      </c>
      <c r="AL16" s="812"/>
      <c r="AM16" s="812"/>
      <c r="AN16" s="812">
        <v>924074750</v>
      </c>
      <c r="AO16" s="812">
        <v>761230063</v>
      </c>
      <c r="AP16" s="812">
        <v>52982386</v>
      </c>
      <c r="AQ16" s="812">
        <v>41196632</v>
      </c>
      <c r="AR16" s="812">
        <v>86294877</v>
      </c>
      <c r="AS16" s="812">
        <v>66726803</v>
      </c>
      <c r="AT16" s="812">
        <v>263506615</v>
      </c>
      <c r="AU16" s="818">
        <v>194508709</v>
      </c>
      <c r="AV16" s="1275">
        <f t="shared" si="0"/>
        <v>6055850662.34</v>
      </c>
      <c r="AW16" s="1276">
        <f t="shared" si="0"/>
        <v>4850048224</v>
      </c>
      <c r="AX16" s="818">
        <v>34037509709</v>
      </c>
      <c r="AY16" s="813">
        <v>30819981821</v>
      </c>
      <c r="AZ16" s="813">
        <f t="shared" si="1"/>
        <v>40093360371.34</v>
      </c>
      <c r="BA16" s="813">
        <f t="shared" si="1"/>
        <v>35670030045</v>
      </c>
    </row>
    <row r="17" spans="1:53" ht="16.5">
      <c r="A17" s="107" t="s">
        <v>471</v>
      </c>
      <c r="B17" s="107"/>
      <c r="C17" s="1030"/>
      <c r="D17" s="819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  <c r="U17" s="812"/>
      <c r="V17" s="812"/>
      <c r="W17" s="812"/>
      <c r="X17" s="812"/>
      <c r="Y17" s="812"/>
      <c r="Z17" s="812"/>
      <c r="AA17" s="812"/>
      <c r="AB17" s="812"/>
      <c r="AC17" s="812"/>
      <c r="AD17" s="812"/>
      <c r="AE17" s="812"/>
      <c r="AF17" s="812"/>
      <c r="AG17" s="812"/>
      <c r="AH17" s="812"/>
      <c r="AI17" s="812"/>
      <c r="AJ17" s="812"/>
      <c r="AK17" s="812"/>
      <c r="AL17" s="812"/>
      <c r="AM17" s="812"/>
      <c r="AN17" s="812"/>
      <c r="AO17" s="812"/>
      <c r="AP17" s="812"/>
      <c r="AQ17" s="812"/>
      <c r="AR17" s="812"/>
      <c r="AS17" s="812"/>
      <c r="AT17" s="812"/>
      <c r="AU17" s="818"/>
      <c r="AV17" s="1275">
        <f t="shared" si="0"/>
        <v>0</v>
      </c>
      <c r="AW17" s="1276">
        <f t="shared" si="0"/>
        <v>0</v>
      </c>
      <c r="AX17" s="818"/>
      <c r="AY17" s="813"/>
      <c r="AZ17" s="813">
        <f t="shared" si="1"/>
        <v>0</v>
      </c>
      <c r="BA17" s="813">
        <f t="shared" si="1"/>
        <v>0</v>
      </c>
    </row>
    <row r="18" spans="1:53" ht="16.5">
      <c r="A18" s="134" t="s">
        <v>470</v>
      </c>
      <c r="B18" s="134"/>
      <c r="C18" s="1030"/>
      <c r="D18" s="819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  <c r="R18" s="812"/>
      <c r="S18" s="812"/>
      <c r="T18" s="812"/>
      <c r="U18" s="812"/>
      <c r="V18" s="812"/>
      <c r="W18" s="812"/>
      <c r="X18" s="812"/>
      <c r="Y18" s="812"/>
      <c r="Z18" s="812"/>
      <c r="AA18" s="812"/>
      <c r="AB18" s="812"/>
      <c r="AC18" s="812"/>
      <c r="AD18" s="812"/>
      <c r="AE18" s="812"/>
      <c r="AF18" s="812"/>
      <c r="AG18" s="812"/>
      <c r="AH18" s="812"/>
      <c r="AI18" s="812"/>
      <c r="AJ18" s="812"/>
      <c r="AL18" s="812"/>
      <c r="AM18" s="812"/>
      <c r="AN18" s="812"/>
      <c r="AO18" s="812"/>
      <c r="AP18" s="812"/>
      <c r="AQ18" s="812"/>
      <c r="AR18" s="812"/>
      <c r="AS18" s="812"/>
      <c r="AT18" s="812"/>
      <c r="AU18" s="818"/>
      <c r="AV18" s="1275">
        <f t="shared" si="0"/>
        <v>0</v>
      </c>
      <c r="AW18" s="1276">
        <f>SUM(C18+E18+G18+I18+K18+M18+O18+Q18+S18+U18+W18+Y18+AA18+AC18+AE18+AG18+AI18+AK24+AM18+AO18+AQ18+AS18+AU18)</f>
        <v>40388336</v>
      </c>
      <c r="AX18" s="818"/>
      <c r="AY18" s="813"/>
      <c r="AZ18" s="813">
        <f t="shared" si="1"/>
        <v>0</v>
      </c>
      <c r="BA18" s="813">
        <f t="shared" si="1"/>
        <v>40388336</v>
      </c>
    </row>
    <row r="19" spans="1:53" ht="16.5">
      <c r="A19" s="107" t="s">
        <v>333</v>
      </c>
      <c r="B19" s="107">
        <v>241673378</v>
      </c>
      <c r="C19" s="1030">
        <v>228960771</v>
      </c>
      <c r="D19" s="819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  <c r="R19" s="812"/>
      <c r="S19" s="812"/>
      <c r="T19" s="812"/>
      <c r="U19" s="812"/>
      <c r="V19" s="812"/>
      <c r="W19" s="812"/>
      <c r="X19" s="812"/>
      <c r="Y19" s="812"/>
      <c r="Z19" s="812"/>
      <c r="AA19" s="812"/>
      <c r="AB19" s="812"/>
      <c r="AC19" s="812"/>
      <c r="AD19" s="812"/>
      <c r="AE19" s="812"/>
      <c r="AF19" s="812"/>
      <c r="AG19" s="812"/>
      <c r="AH19" s="812"/>
      <c r="AI19" s="812"/>
      <c r="AJ19" s="812"/>
      <c r="AK19" s="812"/>
      <c r="AL19" s="812"/>
      <c r="AM19" s="812"/>
      <c r="AN19" s="812"/>
      <c r="AO19" s="812"/>
      <c r="AP19" s="812">
        <v>4800777</v>
      </c>
      <c r="AQ19" s="812">
        <v>4139117</v>
      </c>
      <c r="AR19" s="812"/>
      <c r="AS19" s="812"/>
      <c r="AT19" s="812"/>
      <c r="AU19" s="818"/>
      <c r="AV19" s="1275">
        <f t="shared" si="0"/>
        <v>246474155</v>
      </c>
      <c r="AW19" s="1276">
        <f t="shared" si="0"/>
        <v>233099888</v>
      </c>
      <c r="AX19" s="818"/>
      <c r="AY19" s="813"/>
      <c r="AZ19" s="813">
        <f t="shared" si="1"/>
        <v>246474155</v>
      </c>
      <c r="BA19" s="813">
        <f t="shared" si="1"/>
        <v>233099888</v>
      </c>
    </row>
    <row r="20" spans="1:53" ht="16.5">
      <c r="A20" s="107" t="s">
        <v>472</v>
      </c>
      <c r="B20" s="107"/>
      <c r="C20" s="1030"/>
      <c r="D20" s="819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812"/>
      <c r="Q20" s="812"/>
      <c r="R20" s="812"/>
      <c r="S20" s="812"/>
      <c r="T20" s="812"/>
      <c r="U20" s="812"/>
      <c r="V20" s="812"/>
      <c r="W20" s="812"/>
      <c r="X20" s="812"/>
      <c r="Y20" s="812"/>
      <c r="Z20" s="812"/>
      <c r="AA20" s="812"/>
      <c r="AB20" s="812"/>
      <c r="AC20" s="812"/>
      <c r="AD20" s="812"/>
      <c r="AE20" s="812"/>
      <c r="AF20" s="812"/>
      <c r="AG20" s="812"/>
      <c r="AH20" s="812"/>
      <c r="AI20" s="812"/>
      <c r="AJ20" s="812"/>
      <c r="AK20" s="812"/>
      <c r="AL20" s="812"/>
      <c r="AM20" s="812"/>
      <c r="AN20" s="812"/>
      <c r="AO20" s="812"/>
      <c r="AP20" s="812"/>
      <c r="AQ20" s="812"/>
      <c r="AR20" s="812"/>
      <c r="AS20" s="812"/>
      <c r="AT20" s="812"/>
      <c r="AU20" s="818"/>
      <c r="AV20" s="1275">
        <f t="shared" si="0"/>
        <v>0</v>
      </c>
      <c r="AW20" s="1276">
        <f t="shared" si="0"/>
        <v>0</v>
      </c>
      <c r="AX20" s="818"/>
      <c r="AY20" s="813"/>
      <c r="AZ20" s="813">
        <f t="shared" si="1"/>
        <v>0</v>
      </c>
      <c r="BA20" s="813">
        <f t="shared" si="1"/>
        <v>0</v>
      </c>
    </row>
    <row r="21" spans="1:53" ht="16.5">
      <c r="A21" s="134" t="s">
        <v>473</v>
      </c>
      <c r="B21" s="134"/>
      <c r="C21" s="1030"/>
      <c r="D21" s="819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  <c r="R21" s="812"/>
      <c r="S21" s="812"/>
      <c r="T21" s="812"/>
      <c r="U21" s="812"/>
      <c r="V21" s="812"/>
      <c r="W21" s="812"/>
      <c r="X21" s="812"/>
      <c r="Y21" s="812"/>
      <c r="Z21" s="812"/>
      <c r="AA21" s="812"/>
      <c r="AB21" s="812"/>
      <c r="AC21" s="812"/>
      <c r="AD21" s="812"/>
      <c r="AE21" s="812"/>
      <c r="AF21" s="812"/>
      <c r="AG21" s="812"/>
      <c r="AH21" s="812"/>
      <c r="AI21" s="812"/>
      <c r="AJ21" s="812"/>
      <c r="AK21" s="812"/>
      <c r="AL21" s="812"/>
      <c r="AM21" s="812"/>
      <c r="AN21" s="812"/>
      <c r="AO21" s="812"/>
      <c r="AP21" s="812"/>
      <c r="AQ21" s="812"/>
      <c r="AR21" s="812"/>
      <c r="AS21" s="812"/>
      <c r="AT21" s="812"/>
      <c r="AU21" s="818"/>
      <c r="AV21" s="1275">
        <f t="shared" si="0"/>
        <v>0</v>
      </c>
      <c r="AW21" s="1276">
        <f t="shared" si="0"/>
        <v>0</v>
      </c>
      <c r="AX21" s="818">
        <v>129340313</v>
      </c>
      <c r="AY21" s="813">
        <v>127855845</v>
      </c>
      <c r="AZ21" s="813">
        <f t="shared" si="1"/>
        <v>129340313</v>
      </c>
      <c r="BA21" s="813">
        <f t="shared" si="1"/>
        <v>127855845</v>
      </c>
    </row>
    <row r="22" spans="1:53" ht="16.5">
      <c r="A22" s="107" t="s">
        <v>474</v>
      </c>
      <c r="B22" s="107"/>
      <c r="C22" s="1030"/>
      <c r="D22" s="819"/>
      <c r="E22" s="812"/>
      <c r="F22" s="812"/>
      <c r="G22" s="812"/>
      <c r="H22" s="812"/>
      <c r="I22" s="812"/>
      <c r="J22" s="812"/>
      <c r="K22" s="812"/>
      <c r="L22" s="812"/>
      <c r="M22" s="812"/>
      <c r="N22" s="812"/>
      <c r="O22" s="812"/>
      <c r="P22" s="812"/>
      <c r="Q22" s="812"/>
      <c r="R22" s="812"/>
      <c r="S22" s="812"/>
      <c r="T22" s="812"/>
      <c r="U22" s="812"/>
      <c r="V22" s="812"/>
      <c r="W22" s="812"/>
      <c r="X22" s="812"/>
      <c r="Y22" s="812"/>
      <c r="Z22" s="812"/>
      <c r="AA22" s="812"/>
      <c r="AB22" s="812"/>
      <c r="AC22" s="812"/>
      <c r="AD22" s="812"/>
      <c r="AE22" s="812"/>
      <c r="AF22" s="812"/>
      <c r="AG22" s="812"/>
      <c r="AH22" s="812"/>
      <c r="AI22" s="812"/>
      <c r="AJ22" s="812"/>
      <c r="AK22" s="812"/>
      <c r="AL22" s="812"/>
      <c r="AM22" s="812"/>
      <c r="AN22" s="812"/>
      <c r="AO22" s="812"/>
      <c r="AP22" s="812"/>
      <c r="AQ22" s="812"/>
      <c r="AR22" s="812"/>
      <c r="AS22" s="812"/>
      <c r="AT22" s="812"/>
      <c r="AU22" s="818"/>
      <c r="AV22" s="1275">
        <f t="shared" si="0"/>
        <v>0</v>
      </c>
      <c r="AW22" s="1276">
        <f t="shared" si="0"/>
        <v>0</v>
      </c>
      <c r="AX22" s="818"/>
      <c r="AY22" s="813"/>
      <c r="AZ22" s="813">
        <f t="shared" si="1"/>
        <v>0</v>
      </c>
      <c r="BA22" s="813">
        <f t="shared" si="1"/>
        <v>0</v>
      </c>
    </row>
    <row r="23" spans="1:53" ht="16.5">
      <c r="A23" s="107" t="s">
        <v>475</v>
      </c>
      <c r="B23" s="107"/>
      <c r="C23" s="1030"/>
      <c r="D23" s="819"/>
      <c r="E23" s="812"/>
      <c r="F23" s="812"/>
      <c r="G23" s="812"/>
      <c r="H23" s="812"/>
      <c r="I23" s="812"/>
      <c r="J23" s="812"/>
      <c r="K23" s="812"/>
      <c r="L23" s="812"/>
      <c r="M23" s="812"/>
      <c r="N23" s="812"/>
      <c r="O23" s="812"/>
      <c r="P23" s="812"/>
      <c r="Q23" s="812"/>
      <c r="R23" s="812"/>
      <c r="S23" s="812"/>
      <c r="T23" s="812"/>
      <c r="U23" s="812"/>
      <c r="V23" s="812"/>
      <c r="W23" s="812"/>
      <c r="X23" s="812"/>
      <c r="Y23" s="812"/>
      <c r="Z23" s="812"/>
      <c r="AA23" s="812"/>
      <c r="AB23" s="812"/>
      <c r="AC23" s="812"/>
      <c r="AD23" s="812"/>
      <c r="AE23" s="812"/>
      <c r="AF23" s="812"/>
      <c r="AG23" s="812"/>
      <c r="AH23" s="812"/>
      <c r="AI23" s="812"/>
      <c r="AJ23" s="812"/>
      <c r="AK23" s="812"/>
      <c r="AL23" s="812"/>
      <c r="AM23" s="812"/>
      <c r="AN23" s="812"/>
      <c r="AO23" s="812"/>
      <c r="AP23" s="812"/>
      <c r="AQ23" s="812"/>
      <c r="AR23" s="812"/>
      <c r="AS23" s="812"/>
      <c r="AT23" s="812"/>
      <c r="AU23" s="818"/>
      <c r="AV23" s="1275">
        <f t="shared" si="0"/>
        <v>0</v>
      </c>
      <c r="AW23" s="1276">
        <f t="shared" si="0"/>
        <v>0</v>
      </c>
      <c r="AX23" s="818"/>
      <c r="AY23" s="813"/>
      <c r="AZ23" s="813">
        <f t="shared" si="1"/>
        <v>0</v>
      </c>
      <c r="BA23" s="813">
        <f t="shared" si="1"/>
        <v>0</v>
      </c>
    </row>
    <row r="24" spans="1:53" ht="16.5">
      <c r="A24" s="134" t="s">
        <v>476</v>
      </c>
      <c r="B24" s="134"/>
      <c r="C24" s="1030"/>
      <c r="D24" s="819">
        <v>7058726</v>
      </c>
      <c r="E24" s="812">
        <v>8251230</v>
      </c>
      <c r="F24" s="812">
        <f>519112+30804+26712592+3272586+3078177+1696324</f>
        <v>35309595</v>
      </c>
      <c r="G24" s="812">
        <f>482592+31611+20087352+2492077+2796910+1279083</f>
        <v>27169625</v>
      </c>
      <c r="H24" s="812">
        <v>220936918</v>
      </c>
      <c r="I24" s="812">
        <v>198715103</v>
      </c>
      <c r="J24" s="812">
        <v>13802176</v>
      </c>
      <c r="K24" s="812">
        <v>8910278</v>
      </c>
      <c r="L24" s="812">
        <f>90670855+871939</f>
        <v>91542794</v>
      </c>
      <c r="M24" s="812">
        <f>80723473+922587</f>
        <v>81646060</v>
      </c>
      <c r="N24" s="812">
        <v>4066654</v>
      </c>
      <c r="O24" s="812">
        <v>3144462</v>
      </c>
      <c r="P24" s="812">
        <v>10349716</v>
      </c>
      <c r="Q24" s="812">
        <v>7622632</v>
      </c>
      <c r="R24" s="812">
        <v>16366217</v>
      </c>
      <c r="S24" s="812">
        <v>16373582</v>
      </c>
      <c r="T24" s="812">
        <v>5388356</v>
      </c>
      <c r="U24" s="812">
        <v>4849222</v>
      </c>
      <c r="V24" s="812">
        <v>543053846</v>
      </c>
      <c r="W24" s="812">
        <v>543767510</v>
      </c>
      <c r="X24" s="812">
        <v>1277703960</v>
      </c>
      <c r="Y24" s="812">
        <v>880367520</v>
      </c>
      <c r="Z24" s="812">
        <v>33435921</v>
      </c>
      <c r="AA24" s="812">
        <v>23722497</v>
      </c>
      <c r="AB24" s="812">
        <v>55610902.22</v>
      </c>
      <c r="AC24" s="812">
        <v>37158745</v>
      </c>
      <c r="AD24" s="812">
        <v>188047295</v>
      </c>
      <c r="AE24" s="812">
        <v>129630886</v>
      </c>
      <c r="AF24" s="812">
        <v>254703178</v>
      </c>
      <c r="AG24" s="812">
        <v>174210481</v>
      </c>
      <c r="AH24" s="812"/>
      <c r="AI24" s="812">
        <v>529000</v>
      </c>
      <c r="AJ24" s="812">
        <v>56753451</v>
      </c>
      <c r="AK24" s="812">
        <v>40388336</v>
      </c>
      <c r="AL24" s="812"/>
      <c r="AM24" s="812"/>
      <c r="AN24" s="812">
        <v>965495367</v>
      </c>
      <c r="AO24" s="812">
        <v>763007278</v>
      </c>
      <c r="AP24" s="812"/>
      <c r="AQ24" s="812"/>
      <c r="AR24" s="812">
        <v>21072601</v>
      </c>
      <c r="AS24" s="812">
        <v>19678939</v>
      </c>
      <c r="AT24" s="812">
        <v>155007571</v>
      </c>
      <c r="AU24" s="818">
        <v>88770771</v>
      </c>
      <c r="AV24" s="1275">
        <f t="shared" si="0"/>
        <v>3955705244.22</v>
      </c>
      <c r="AW24" s="1276">
        <f t="shared" si="0"/>
        <v>3057914157</v>
      </c>
      <c r="AX24" s="818">
        <v>329319617</v>
      </c>
      <c r="AY24" s="813">
        <v>324976517</v>
      </c>
      <c r="AZ24" s="813">
        <f t="shared" si="1"/>
        <v>4285024861.22</v>
      </c>
      <c r="BA24" s="813">
        <f t="shared" si="1"/>
        <v>3382890674</v>
      </c>
    </row>
    <row r="25" spans="1:53" ht="16.5">
      <c r="A25" s="107" t="s">
        <v>477</v>
      </c>
      <c r="B25" s="107"/>
      <c r="C25" s="1030"/>
      <c r="D25" s="819">
        <v>1889428</v>
      </c>
      <c r="E25" s="812">
        <v>-1373179</v>
      </c>
      <c r="F25" s="812"/>
      <c r="G25" s="812"/>
      <c r="H25" s="812">
        <v>47791228</v>
      </c>
      <c r="I25" s="812">
        <v>-17383616</v>
      </c>
      <c r="J25" s="812"/>
      <c r="K25" s="812"/>
      <c r="L25" s="812">
        <v>18932312</v>
      </c>
      <c r="M25" s="812">
        <v>-6608222</v>
      </c>
      <c r="N25" s="812"/>
      <c r="O25" s="812"/>
      <c r="P25" s="812">
        <v>1506964</v>
      </c>
      <c r="Q25" s="812">
        <v>-1255392</v>
      </c>
      <c r="R25" s="812">
        <v>4035135</v>
      </c>
      <c r="S25" s="812">
        <v>-612412</v>
      </c>
      <c r="T25" s="812"/>
      <c r="U25" s="812"/>
      <c r="V25" s="812">
        <v>166581393</v>
      </c>
      <c r="W25" s="812">
        <v>-35325617</v>
      </c>
      <c r="X25" s="812"/>
      <c r="Y25" s="812"/>
      <c r="Z25" s="812"/>
      <c r="AA25" s="812"/>
      <c r="AB25" s="812"/>
      <c r="AC25" s="812"/>
      <c r="AD25" s="812"/>
      <c r="AE25" s="812"/>
      <c r="AF25" s="812"/>
      <c r="AG25" s="812"/>
      <c r="AH25" s="812"/>
      <c r="AI25" s="812"/>
      <c r="AJ25" s="812"/>
      <c r="AK25" s="812"/>
      <c r="AL25" s="812"/>
      <c r="AM25" s="812"/>
      <c r="AN25" s="812">
        <v>1265540403</v>
      </c>
      <c r="AO25" s="812">
        <v>-28605050</v>
      </c>
      <c r="AP25" s="812"/>
      <c r="AQ25" s="812"/>
      <c r="AR25" s="812">
        <v>2472322</v>
      </c>
      <c r="AS25" s="812">
        <v>-1224705</v>
      </c>
      <c r="AT25" s="812"/>
      <c r="AU25" s="818"/>
      <c r="AV25" s="1275">
        <f t="shared" si="0"/>
        <v>1508749185</v>
      </c>
      <c r="AW25" s="1276">
        <f t="shared" si="0"/>
        <v>-92388193</v>
      </c>
      <c r="AX25" s="818"/>
      <c r="AY25" s="813"/>
      <c r="AZ25" s="813">
        <f t="shared" si="1"/>
        <v>1508749185</v>
      </c>
      <c r="BA25" s="813">
        <f t="shared" si="1"/>
        <v>-92388193</v>
      </c>
    </row>
    <row r="26" spans="1:53" ht="16.5">
      <c r="A26" s="107" t="s">
        <v>478</v>
      </c>
      <c r="B26" s="107"/>
      <c r="C26" s="1030"/>
      <c r="D26" s="819"/>
      <c r="E26" s="812"/>
      <c r="F26" s="812"/>
      <c r="G26" s="812"/>
      <c r="H26" s="812"/>
      <c r="I26" s="812"/>
      <c r="J26" s="812"/>
      <c r="K26" s="812"/>
      <c r="L26" s="812"/>
      <c r="M26" s="812"/>
      <c r="N26" s="812"/>
      <c r="O26" s="812"/>
      <c r="P26" s="812"/>
      <c r="Q26" s="812"/>
      <c r="R26" s="812">
        <v>89773</v>
      </c>
      <c r="S26" s="812">
        <v>106175</v>
      </c>
      <c r="T26" s="812"/>
      <c r="U26" s="812"/>
      <c r="V26" s="812"/>
      <c r="W26" s="812"/>
      <c r="X26" s="812"/>
      <c r="Y26" s="812"/>
      <c r="Z26" s="812"/>
      <c r="AA26" s="812"/>
      <c r="AB26" s="812"/>
      <c r="AC26" s="812"/>
      <c r="AD26" s="812"/>
      <c r="AE26" s="812"/>
      <c r="AF26" s="812"/>
      <c r="AG26" s="812"/>
      <c r="AH26" s="812"/>
      <c r="AI26" s="812">
        <v>47030829</v>
      </c>
      <c r="AJ26" s="812"/>
      <c r="AK26" s="812"/>
      <c r="AL26" s="812"/>
      <c r="AM26" s="812"/>
      <c r="AN26" s="812"/>
      <c r="AO26" s="812"/>
      <c r="AP26" s="812"/>
      <c r="AQ26" s="812"/>
      <c r="AR26" s="812"/>
      <c r="AS26" s="812"/>
      <c r="AT26" s="812">
        <v>3837</v>
      </c>
      <c r="AU26" s="818">
        <v>3203</v>
      </c>
      <c r="AV26" s="1275">
        <f t="shared" si="0"/>
        <v>93610</v>
      </c>
      <c r="AW26" s="1276">
        <f t="shared" si="0"/>
        <v>47140207</v>
      </c>
      <c r="AX26" s="818"/>
      <c r="AY26" s="813"/>
      <c r="AZ26" s="813">
        <f t="shared" si="1"/>
        <v>93610</v>
      </c>
      <c r="BA26" s="813">
        <f t="shared" si="1"/>
        <v>47140207</v>
      </c>
    </row>
    <row r="27" spans="1:53" ht="16.5">
      <c r="A27" s="134" t="s">
        <v>479</v>
      </c>
      <c r="B27" s="134"/>
      <c r="C27" s="1030"/>
      <c r="D27" s="819"/>
      <c r="E27" s="812"/>
      <c r="F27" s="812"/>
      <c r="G27" s="812"/>
      <c r="H27" s="812"/>
      <c r="I27" s="812"/>
      <c r="J27" s="812"/>
      <c r="K27" s="812"/>
      <c r="L27" s="812"/>
      <c r="M27" s="812"/>
      <c r="N27" s="812"/>
      <c r="O27" s="812"/>
      <c r="P27" s="812"/>
      <c r="Q27" s="812"/>
      <c r="R27" s="812"/>
      <c r="S27" s="812"/>
      <c r="T27" s="812"/>
      <c r="U27" s="812"/>
      <c r="V27" s="812"/>
      <c r="W27" s="812"/>
      <c r="X27" s="812">
        <v>107787471</v>
      </c>
      <c r="Y27" s="812">
        <v>90482247</v>
      </c>
      <c r="Z27" s="812">
        <v>1781396</v>
      </c>
      <c r="AA27" s="812">
        <v>1335569</v>
      </c>
      <c r="AB27" s="812">
        <v>3446107.64</v>
      </c>
      <c r="AC27" s="812">
        <v>2402481</v>
      </c>
      <c r="AD27" s="812">
        <f>5677327+9247</f>
        <v>5686574</v>
      </c>
      <c r="AE27" s="812">
        <v>3844306</v>
      </c>
      <c r="AF27" s="812">
        <v>29032994</v>
      </c>
      <c r="AG27" s="812">
        <v>17431093</v>
      </c>
      <c r="AH27" s="812"/>
      <c r="AI27" s="812"/>
      <c r="AJ27" s="812">
        <v>3970516</v>
      </c>
      <c r="AK27" s="812">
        <v>3331216</v>
      </c>
      <c r="AL27" s="812"/>
      <c r="AM27" s="812"/>
      <c r="AN27" s="812"/>
      <c r="AO27" s="812"/>
      <c r="AP27" s="812"/>
      <c r="AQ27" s="812"/>
      <c r="AR27" s="812"/>
      <c r="AS27" s="812"/>
      <c r="AT27" s="812"/>
      <c r="AU27" s="818"/>
      <c r="AV27" s="1275">
        <f t="shared" si="0"/>
        <v>151705058.64</v>
      </c>
      <c r="AW27" s="1276">
        <f t="shared" si="0"/>
        <v>118826912</v>
      </c>
      <c r="AX27" s="818"/>
      <c r="AY27" s="813"/>
      <c r="AZ27" s="813">
        <f t="shared" si="1"/>
        <v>151705058.64</v>
      </c>
      <c r="BA27" s="813">
        <f t="shared" si="1"/>
        <v>118826912</v>
      </c>
    </row>
    <row r="28" spans="1:53" ht="16.5">
      <c r="A28" s="107" t="s">
        <v>480</v>
      </c>
      <c r="B28" s="107">
        <v>8943254</v>
      </c>
      <c r="C28" s="1030">
        <v>6184239</v>
      </c>
      <c r="D28" s="819">
        <v>1201125</v>
      </c>
      <c r="E28" s="812">
        <v>882419</v>
      </c>
      <c r="F28" s="812"/>
      <c r="G28" s="812"/>
      <c r="H28" s="812">
        <v>16845599</v>
      </c>
      <c r="I28" s="812">
        <v>11221641</v>
      </c>
      <c r="J28" s="812">
        <v>201193</v>
      </c>
      <c r="K28" s="812">
        <v>86558</v>
      </c>
      <c r="L28" s="812">
        <v>6537777</v>
      </c>
      <c r="M28" s="812">
        <v>6442153</v>
      </c>
      <c r="N28" s="812"/>
      <c r="O28" s="812"/>
      <c r="P28" s="812">
        <v>1631340</v>
      </c>
      <c r="Q28" s="812">
        <v>1049448</v>
      </c>
      <c r="R28" s="812">
        <f>1076595+565575</f>
        <v>1642170</v>
      </c>
      <c r="S28" s="812">
        <f>1115858+519388</f>
        <v>1635246</v>
      </c>
      <c r="T28" s="812">
        <v>1421134</v>
      </c>
      <c r="U28" s="812">
        <v>852245</v>
      </c>
      <c r="V28" s="812">
        <v>37761639</v>
      </c>
      <c r="W28" s="812">
        <v>33279021</v>
      </c>
      <c r="X28" s="812"/>
      <c r="Y28" s="812"/>
      <c r="Z28" s="812"/>
      <c r="AA28" s="812"/>
      <c r="AB28" s="812"/>
      <c r="AC28" s="812"/>
      <c r="AD28" s="812"/>
      <c r="AE28" s="812"/>
      <c r="AF28" s="812"/>
      <c r="AG28" s="812"/>
      <c r="AH28" s="812"/>
      <c r="AI28" s="812">
        <v>5658369</v>
      </c>
      <c r="AJ28" s="812"/>
      <c r="AK28" s="812"/>
      <c r="AL28" s="812"/>
      <c r="AM28" s="812"/>
      <c r="AN28" s="812">
        <v>69013752</v>
      </c>
      <c r="AO28" s="812">
        <v>50504363</v>
      </c>
      <c r="AP28" s="812">
        <v>201619</v>
      </c>
      <c r="AQ28" s="812">
        <v>194540</v>
      </c>
      <c r="AR28" s="812">
        <v>2036699</v>
      </c>
      <c r="AS28" s="812">
        <v>1756662</v>
      </c>
      <c r="AT28" s="812">
        <v>9254160</v>
      </c>
      <c r="AU28" s="818">
        <v>6213279</v>
      </c>
      <c r="AV28" s="1275">
        <f t="shared" si="0"/>
        <v>156691461</v>
      </c>
      <c r="AW28" s="1276">
        <f t="shared" si="0"/>
        <v>125960183</v>
      </c>
      <c r="AX28" s="818">
        <v>336600</v>
      </c>
      <c r="AY28" s="813">
        <v>333422</v>
      </c>
      <c r="AZ28" s="813">
        <f t="shared" si="1"/>
        <v>157028061</v>
      </c>
      <c r="BA28" s="813">
        <f t="shared" si="1"/>
        <v>126293605</v>
      </c>
    </row>
    <row r="29" spans="1:53" ht="16.5">
      <c r="A29" s="107" t="s">
        <v>481</v>
      </c>
      <c r="B29" s="107"/>
      <c r="C29" s="1030"/>
      <c r="D29" s="819">
        <v>7717</v>
      </c>
      <c r="E29" s="812">
        <v>12081</v>
      </c>
      <c r="F29" s="812"/>
      <c r="G29" s="812"/>
      <c r="H29" s="812">
        <v>105985</v>
      </c>
      <c r="I29" s="812">
        <v>70456</v>
      </c>
      <c r="J29" s="812"/>
      <c r="K29" s="812"/>
      <c r="L29" s="812">
        <v>84405</v>
      </c>
      <c r="M29" s="812">
        <v>73830</v>
      </c>
      <c r="N29" s="812"/>
      <c r="O29" s="812"/>
      <c r="P29" s="812"/>
      <c r="Q29" s="812"/>
      <c r="R29" s="812"/>
      <c r="S29" s="812"/>
      <c r="T29" s="812"/>
      <c r="U29" s="812"/>
      <c r="V29" s="812">
        <v>198067</v>
      </c>
      <c r="W29" s="812">
        <v>99841</v>
      </c>
      <c r="X29" s="812"/>
      <c r="Y29" s="812"/>
      <c r="Z29" s="812"/>
      <c r="AA29" s="812"/>
      <c r="AB29" s="812"/>
      <c r="AC29" s="812"/>
      <c r="AD29" s="812"/>
      <c r="AE29" s="812"/>
      <c r="AF29" s="812"/>
      <c r="AG29" s="812"/>
      <c r="AH29" s="812"/>
      <c r="AI29" s="812"/>
      <c r="AJ29" s="812"/>
      <c r="AK29" s="812"/>
      <c r="AL29" s="812"/>
      <c r="AM29" s="812"/>
      <c r="AN29" s="812">
        <v>1100663</v>
      </c>
      <c r="AO29" s="812">
        <v>746681</v>
      </c>
      <c r="AP29" s="812"/>
      <c r="AQ29" s="812"/>
      <c r="AR29" s="812">
        <v>867</v>
      </c>
      <c r="AS29" s="812">
        <v>1579</v>
      </c>
      <c r="AT29" s="812">
        <v>82125</v>
      </c>
      <c r="AU29" s="818">
        <v>38134</v>
      </c>
      <c r="AV29" s="1275">
        <f t="shared" si="0"/>
        <v>1579829</v>
      </c>
      <c r="AW29" s="1276">
        <f t="shared" si="0"/>
        <v>1042602</v>
      </c>
      <c r="AX29" s="818">
        <v>169973</v>
      </c>
      <c r="AY29" s="813">
        <v>185168</v>
      </c>
      <c r="AZ29" s="813">
        <f t="shared" si="1"/>
        <v>1749802</v>
      </c>
      <c r="BA29" s="813">
        <f t="shared" si="1"/>
        <v>1227770</v>
      </c>
    </row>
    <row r="30" spans="1:53" ht="16.5">
      <c r="A30" s="107" t="s">
        <v>482</v>
      </c>
      <c r="B30" s="107">
        <v>29056749</v>
      </c>
      <c r="C30" s="1030">
        <v>-6895601</v>
      </c>
      <c r="D30" s="819"/>
      <c r="E30" s="812"/>
      <c r="F30" s="812"/>
      <c r="G30" s="812"/>
      <c r="H30" s="812">
        <v>-69957</v>
      </c>
      <c r="I30" s="812">
        <v>-960</v>
      </c>
      <c r="J30" s="812"/>
      <c r="K30" s="812"/>
      <c r="L30" s="812"/>
      <c r="M30" s="812"/>
      <c r="N30" s="812"/>
      <c r="O30" s="812"/>
      <c r="P30" s="812"/>
      <c r="Q30" s="812"/>
      <c r="R30" s="812"/>
      <c r="S30" s="812"/>
      <c r="T30" s="812"/>
      <c r="U30" s="812"/>
      <c r="V30" s="812"/>
      <c r="W30" s="812"/>
      <c r="X30" s="812"/>
      <c r="Y30" s="812"/>
      <c r="Z30" s="812"/>
      <c r="AA30" s="812"/>
      <c r="AB30" s="812"/>
      <c r="AC30" s="812"/>
      <c r="AD30" s="812"/>
      <c r="AE30" s="812"/>
      <c r="AF30" s="812"/>
      <c r="AG30" s="812"/>
      <c r="AH30" s="812"/>
      <c r="AI30" s="812"/>
      <c r="AJ30" s="812"/>
      <c r="AK30" s="812"/>
      <c r="AL30" s="812"/>
      <c r="AM30" s="812"/>
      <c r="AN30" s="812"/>
      <c r="AO30" s="812"/>
      <c r="AP30" s="812"/>
      <c r="AQ30" s="812"/>
      <c r="AR30" s="812"/>
      <c r="AS30" s="812"/>
      <c r="AT30" s="812"/>
      <c r="AU30" s="818"/>
      <c r="AV30" s="1275">
        <f t="shared" si="0"/>
        <v>28986792</v>
      </c>
      <c r="AW30" s="1276">
        <f t="shared" si="0"/>
        <v>-6896561</v>
      </c>
      <c r="AX30" s="818"/>
      <c r="AY30" s="813"/>
      <c r="AZ30" s="813">
        <f t="shared" si="1"/>
        <v>28986792</v>
      </c>
      <c r="BA30" s="813">
        <f t="shared" si="1"/>
        <v>-6896561</v>
      </c>
    </row>
    <row r="31" spans="1:53" ht="16.5">
      <c r="A31" s="107" t="s">
        <v>483</v>
      </c>
      <c r="B31" s="107"/>
      <c r="C31" s="1030"/>
      <c r="D31" s="819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2"/>
      <c r="S31" s="812"/>
      <c r="T31" s="812"/>
      <c r="U31" s="812"/>
      <c r="V31" s="812"/>
      <c r="W31" s="812"/>
      <c r="X31" s="812"/>
      <c r="Y31" s="812"/>
      <c r="Z31" s="812"/>
      <c r="AA31" s="812"/>
      <c r="AB31" s="812"/>
      <c r="AC31" s="812"/>
      <c r="AD31" s="812"/>
      <c r="AE31" s="812"/>
      <c r="AF31" s="812"/>
      <c r="AG31" s="812"/>
      <c r="AH31" s="812"/>
      <c r="AI31" s="812"/>
      <c r="AJ31" s="812"/>
      <c r="AK31" s="812"/>
      <c r="AL31" s="812"/>
      <c r="AM31" s="812"/>
      <c r="AN31" s="812"/>
      <c r="AO31" s="812"/>
      <c r="AP31" s="812"/>
      <c r="AQ31" s="812"/>
      <c r="AR31" s="812"/>
      <c r="AS31" s="812"/>
      <c r="AT31" s="812"/>
      <c r="AU31" s="818"/>
      <c r="AV31" s="1275">
        <f t="shared" si="0"/>
        <v>0</v>
      </c>
      <c r="AW31" s="1276">
        <f t="shared" si="0"/>
        <v>0</v>
      </c>
      <c r="AX31" s="818"/>
      <c r="AY31" s="813"/>
      <c r="AZ31" s="813">
        <f t="shared" si="1"/>
        <v>0</v>
      </c>
      <c r="BA31" s="813">
        <f t="shared" si="1"/>
        <v>0</v>
      </c>
    </row>
    <row r="32" spans="1:53" ht="16.5">
      <c r="A32" s="134" t="s">
        <v>484</v>
      </c>
      <c r="B32" s="134"/>
      <c r="C32" s="1030"/>
      <c r="D32" s="819"/>
      <c r="E32" s="812"/>
      <c r="F32" s="812">
        <v>860516</v>
      </c>
      <c r="G32" s="812">
        <v>752168</v>
      </c>
      <c r="H32" s="812"/>
      <c r="I32" s="812"/>
      <c r="J32" s="812">
        <v>1143393</v>
      </c>
      <c r="K32" s="812">
        <v>988312</v>
      </c>
      <c r="L32" s="812">
        <v>5406725</v>
      </c>
      <c r="M32" s="812">
        <v>2401389</v>
      </c>
      <c r="N32" s="812">
        <v>140228</v>
      </c>
      <c r="O32" s="812"/>
      <c r="P32" s="812">
        <v>62314</v>
      </c>
      <c r="Q32" s="812">
        <v>48824</v>
      </c>
      <c r="R32" s="812">
        <v>3939395</v>
      </c>
      <c r="S32" s="812">
        <v>3410880</v>
      </c>
      <c r="T32" s="812">
        <v>2827022</v>
      </c>
      <c r="U32" s="812">
        <v>2227255</v>
      </c>
      <c r="V32" s="812">
        <v>9905820</v>
      </c>
      <c r="W32" s="812">
        <v>8830340</v>
      </c>
      <c r="X32" s="812"/>
      <c r="Y32" s="812"/>
      <c r="Z32" s="812">
        <v>929598</v>
      </c>
      <c r="AA32" s="812">
        <v>593094</v>
      </c>
      <c r="AB32" s="812">
        <v>1134705.64</v>
      </c>
      <c r="AC32" s="812">
        <v>792746</v>
      </c>
      <c r="AD32" s="812">
        <v>2946862</v>
      </c>
      <c r="AE32" s="812">
        <v>2501687</v>
      </c>
      <c r="AF32" s="812"/>
      <c r="AG32" s="812"/>
      <c r="AH32" s="812"/>
      <c r="AI32" s="812">
        <v>4422583</v>
      </c>
      <c r="AJ32" s="812">
        <v>3662887</v>
      </c>
      <c r="AK32" s="812">
        <v>3228366</v>
      </c>
      <c r="AL32" s="812"/>
      <c r="AM32" s="812"/>
      <c r="AN32" s="812">
        <v>8423244</v>
      </c>
      <c r="AO32" s="812">
        <v>7136661</v>
      </c>
      <c r="AP32" s="812">
        <v>347070</v>
      </c>
      <c r="AQ32" s="812">
        <v>312715</v>
      </c>
      <c r="AR32" s="812">
        <v>2185996</v>
      </c>
      <c r="AS32" s="812">
        <v>2141384</v>
      </c>
      <c r="AT32" s="812">
        <v>10143133</v>
      </c>
      <c r="AU32" s="818">
        <v>6138712</v>
      </c>
      <c r="AV32" s="1275">
        <f t="shared" si="0"/>
        <v>54058908.64</v>
      </c>
      <c r="AW32" s="1276">
        <f t="shared" si="0"/>
        <v>45927116</v>
      </c>
      <c r="AX32" s="818">
        <v>33399</v>
      </c>
      <c r="AY32" s="813">
        <v>2144</v>
      </c>
      <c r="AZ32" s="813">
        <f t="shared" si="1"/>
        <v>54092307.64</v>
      </c>
      <c r="BA32" s="813">
        <f t="shared" si="1"/>
        <v>45929260</v>
      </c>
    </row>
    <row r="33" spans="1:53" ht="16.5">
      <c r="A33" s="107" t="s">
        <v>333</v>
      </c>
      <c r="B33" s="107"/>
      <c r="C33" s="1030">
        <v>115057</v>
      </c>
      <c r="D33" s="819"/>
      <c r="E33" s="812"/>
      <c r="F33" s="812"/>
      <c r="G33" s="812"/>
      <c r="H33" s="812">
        <v>10712809</v>
      </c>
      <c r="I33" s="812">
        <v>9829171</v>
      </c>
      <c r="J33" s="812"/>
      <c r="K33" s="812"/>
      <c r="L33" s="812"/>
      <c r="M33" s="812"/>
      <c r="N33" s="812"/>
      <c r="O33" s="812"/>
      <c r="P33" s="812"/>
      <c r="Q33" s="812"/>
      <c r="R33" s="812"/>
      <c r="S33" s="812"/>
      <c r="T33" s="812"/>
      <c r="U33" s="812"/>
      <c r="V33" s="812"/>
      <c r="W33" s="812"/>
      <c r="X33" s="812"/>
      <c r="Y33" s="812"/>
      <c r="Z33" s="812"/>
      <c r="AA33" s="812"/>
      <c r="AB33" s="812"/>
      <c r="AC33" s="812"/>
      <c r="AD33" s="812"/>
      <c r="AE33" s="812"/>
      <c r="AF33" s="812"/>
      <c r="AG33" s="812"/>
      <c r="AH33" s="812"/>
      <c r="AI33" s="812"/>
      <c r="AJ33" s="812"/>
      <c r="AK33" s="812"/>
      <c r="AL33" s="812"/>
      <c r="AM33" s="812"/>
      <c r="AN33" s="812"/>
      <c r="AO33" s="812"/>
      <c r="AP33" s="812"/>
      <c r="AQ33" s="812"/>
      <c r="AR33" s="812"/>
      <c r="AS33" s="812"/>
      <c r="AT33" s="812"/>
      <c r="AU33" s="818"/>
      <c r="AV33" s="1275">
        <f t="shared" si="0"/>
        <v>10712809</v>
      </c>
      <c r="AW33" s="1276">
        <f t="shared" si="0"/>
        <v>9944228</v>
      </c>
      <c r="AX33" s="818"/>
      <c r="AY33" s="813"/>
      <c r="AZ33" s="813">
        <f t="shared" si="1"/>
        <v>10712809</v>
      </c>
      <c r="BA33" s="813">
        <f t="shared" si="1"/>
        <v>9944228</v>
      </c>
    </row>
    <row r="34" spans="1:53" ht="16.5">
      <c r="A34" s="107" t="s">
        <v>472</v>
      </c>
      <c r="B34" s="107"/>
      <c r="C34" s="1030"/>
      <c r="D34" s="819">
        <v>1883613</v>
      </c>
      <c r="E34" s="812">
        <v>1486035</v>
      </c>
      <c r="F34" s="812"/>
      <c r="G34" s="812"/>
      <c r="H34" s="812"/>
      <c r="I34" s="812"/>
      <c r="J34" s="812"/>
      <c r="K34" s="812"/>
      <c r="L34" s="812"/>
      <c r="M34" s="812"/>
      <c r="N34" s="812"/>
      <c r="O34" s="812"/>
      <c r="P34" s="812"/>
      <c r="Q34" s="812"/>
      <c r="R34" s="812"/>
      <c r="S34" s="812"/>
      <c r="T34" s="812"/>
      <c r="U34" s="812"/>
      <c r="V34" s="812"/>
      <c r="W34" s="812"/>
      <c r="X34" s="812">
        <v>13531799</v>
      </c>
      <c r="Y34" s="812">
        <v>12326605</v>
      </c>
      <c r="Z34" s="812"/>
      <c r="AA34" s="812"/>
      <c r="AB34" s="812"/>
      <c r="AC34" s="812"/>
      <c r="AD34" s="812"/>
      <c r="AE34" s="812"/>
      <c r="AF34" s="812">
        <v>29818973</v>
      </c>
      <c r="AG34" s="812">
        <v>30962301</v>
      </c>
      <c r="AH34" s="812"/>
      <c r="AI34" s="812"/>
      <c r="AJ34" s="812"/>
      <c r="AK34" s="812"/>
      <c r="AL34" s="812"/>
      <c r="AM34" s="812"/>
      <c r="AN34" s="812"/>
      <c r="AO34" s="812"/>
      <c r="AP34" s="812"/>
      <c r="AQ34" s="812"/>
      <c r="AR34" s="812"/>
      <c r="AS34" s="812"/>
      <c r="AT34" s="812"/>
      <c r="AU34" s="818"/>
      <c r="AV34" s="1275">
        <f t="shared" si="0"/>
        <v>45234385</v>
      </c>
      <c r="AW34" s="1276">
        <f t="shared" si="0"/>
        <v>44774941</v>
      </c>
      <c r="AX34" s="818"/>
      <c r="AY34" s="813"/>
      <c r="AZ34" s="813">
        <f t="shared" si="1"/>
        <v>45234385</v>
      </c>
      <c r="BA34" s="813">
        <f t="shared" si="1"/>
        <v>44774941</v>
      </c>
    </row>
    <row r="35" spans="1:53" ht="16.5">
      <c r="A35" s="107" t="s">
        <v>74</v>
      </c>
      <c r="B35" s="107"/>
      <c r="C35" s="1030"/>
      <c r="D35" s="819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2"/>
      <c r="S35" s="812"/>
      <c r="T35" s="812"/>
      <c r="U35" s="812"/>
      <c r="V35" s="812"/>
      <c r="W35" s="812"/>
      <c r="X35" s="812"/>
      <c r="Y35" s="812"/>
      <c r="Z35" s="812"/>
      <c r="AA35" s="812"/>
      <c r="AB35" s="812"/>
      <c r="AC35" s="812"/>
      <c r="AD35" s="812"/>
      <c r="AE35" s="812"/>
      <c r="AF35" s="812"/>
      <c r="AG35" s="812"/>
      <c r="AH35" s="812"/>
      <c r="AI35" s="812"/>
      <c r="AJ35" s="812"/>
      <c r="AK35" s="812"/>
      <c r="AL35" s="812"/>
      <c r="AM35" s="812"/>
      <c r="AN35" s="812"/>
      <c r="AO35" s="812"/>
      <c r="AP35" s="812"/>
      <c r="AQ35" s="812"/>
      <c r="AR35" s="812"/>
      <c r="AS35" s="812"/>
      <c r="AT35" s="812">
        <v>-90697</v>
      </c>
      <c r="AU35" s="818"/>
      <c r="AV35" s="1275">
        <f t="shared" si="0"/>
        <v>-90697</v>
      </c>
      <c r="AW35" s="1276">
        <f t="shared" si="0"/>
        <v>0</v>
      </c>
      <c r="AX35" s="818"/>
      <c r="AY35" s="813"/>
      <c r="AZ35" s="813">
        <f t="shared" si="1"/>
        <v>-90697</v>
      </c>
      <c r="BA35" s="813">
        <f t="shared" si="1"/>
        <v>0</v>
      </c>
    </row>
    <row r="36" spans="1:53" s="170" customFormat="1" ht="18">
      <c r="A36" s="134" t="s">
        <v>485</v>
      </c>
      <c r="B36" s="134">
        <v>532595053</v>
      </c>
      <c r="C36" s="1031">
        <v>420861173</v>
      </c>
      <c r="D36" s="1032">
        <v>54631358</v>
      </c>
      <c r="E36" s="1034">
        <v>47425937</v>
      </c>
      <c r="F36" s="1034">
        <v>122095456</v>
      </c>
      <c r="G36" s="1034">
        <v>105589895</v>
      </c>
      <c r="H36" s="1034">
        <v>744304869</v>
      </c>
      <c r="I36" s="1034">
        <v>570205000</v>
      </c>
      <c r="J36" s="1034">
        <v>123223055</v>
      </c>
      <c r="K36" s="1034">
        <v>99987803</v>
      </c>
      <c r="L36" s="1034">
        <v>218124957</v>
      </c>
      <c r="M36" s="1034">
        <v>155415252</v>
      </c>
      <c r="N36" s="1034">
        <v>59551077</v>
      </c>
      <c r="O36" s="1034">
        <v>52963138</v>
      </c>
      <c r="P36" s="1034">
        <v>60682795</v>
      </c>
      <c r="Q36" s="1034">
        <v>47463828</v>
      </c>
      <c r="R36" s="1034">
        <v>191239507</v>
      </c>
      <c r="S36" s="1034">
        <v>166117998</v>
      </c>
      <c r="T36" s="1034">
        <v>73406188</v>
      </c>
      <c r="U36" s="1034">
        <v>63086134</v>
      </c>
      <c r="V36" s="1034">
        <v>1730658275</v>
      </c>
      <c r="W36" s="1034">
        <v>1271854488</v>
      </c>
      <c r="X36" s="1034">
        <v>2134893044</v>
      </c>
      <c r="Y36" s="1034">
        <v>1526987138</v>
      </c>
      <c r="Z36" s="1034">
        <v>122764504</v>
      </c>
      <c r="AA36" s="1034">
        <v>99799532</v>
      </c>
      <c r="AB36" s="1034">
        <v>172956338.61</v>
      </c>
      <c r="AC36" s="1034">
        <v>149437781</v>
      </c>
      <c r="AD36" s="1034">
        <v>462189653</v>
      </c>
      <c r="AE36" s="1034">
        <v>348451443</v>
      </c>
      <c r="AF36" s="1034">
        <v>912228319</v>
      </c>
      <c r="AG36" s="1034">
        <v>697448131</v>
      </c>
      <c r="AH36" s="1034"/>
      <c r="AI36" s="1034">
        <v>234982042</v>
      </c>
      <c r="AJ36" s="1034">
        <v>249391426</v>
      </c>
      <c r="AK36" s="1034">
        <v>205222192</v>
      </c>
      <c r="AL36" s="1034"/>
      <c r="AM36" s="1034"/>
      <c r="AN36" s="1034">
        <v>2225920678</v>
      </c>
      <c r="AO36" s="1034">
        <v>1625578887</v>
      </c>
      <c r="AP36" s="1034">
        <v>66317381</v>
      </c>
      <c r="AQ36" s="1034">
        <v>51521446</v>
      </c>
      <c r="AR36" s="1034">
        <v>121249995</v>
      </c>
      <c r="AS36" s="1034">
        <v>95257727</v>
      </c>
      <c r="AT36" s="1034">
        <v>473435386</v>
      </c>
      <c r="AU36" s="1035">
        <v>319192270</v>
      </c>
      <c r="AV36" s="1275">
        <f t="shared" si="0"/>
        <v>10851859314.61</v>
      </c>
      <c r="AW36" s="1277">
        <f t="shared" si="0"/>
        <v>8354849235</v>
      </c>
      <c r="AX36" s="1035">
        <v>37289024440</v>
      </c>
      <c r="AY36" s="1033">
        <v>31237324814</v>
      </c>
      <c r="AZ36" s="813">
        <f t="shared" si="1"/>
        <v>48140883754.61</v>
      </c>
      <c r="BA36" s="1033">
        <f t="shared" si="1"/>
        <v>39592174049</v>
      </c>
    </row>
    <row r="37" spans="1:53" ht="16.5">
      <c r="A37" s="134" t="s">
        <v>486</v>
      </c>
      <c r="B37" s="134"/>
      <c r="C37" s="1030"/>
      <c r="D37" s="819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812"/>
      <c r="T37" s="812"/>
      <c r="U37" s="812"/>
      <c r="V37" s="812"/>
      <c r="W37" s="812"/>
      <c r="X37" s="812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  <c r="AI37" s="812"/>
      <c r="AJ37" s="812"/>
      <c r="AK37" s="812"/>
      <c r="AL37" s="812"/>
      <c r="AM37" s="812"/>
      <c r="AN37" s="812"/>
      <c r="AO37" s="812"/>
      <c r="AP37" s="812"/>
      <c r="AQ37" s="812"/>
      <c r="AR37" s="812"/>
      <c r="AS37" s="812"/>
      <c r="AT37" s="812"/>
      <c r="AU37" s="818"/>
      <c r="AV37" s="1275">
        <f aca="true" t="shared" si="4" ref="AV37:AV69">SUM(B37+D37+F37+H37+J37+L37+N37+P37+R37+T37+V37+X37+Z37+AB37+AD37+AF37+AH37+AJ37+AL37+AN37+AP37+AR37+AT37)</f>
        <v>0</v>
      </c>
      <c r="AW37" s="1276">
        <f aca="true" t="shared" si="5" ref="AW37:AW68">SUM(C37+E37+G37+I37+K37+M37+O37+Q37+S37+U37+W37+Y37+AA37+AC37+AE37+AG37+AI37+AK37+AM37+AO37+AQ37+AS37+AU37)</f>
        <v>0</v>
      </c>
      <c r="AX37" s="818"/>
      <c r="AY37" s="813"/>
      <c r="AZ37" s="813">
        <f t="shared" si="1"/>
        <v>0</v>
      </c>
      <c r="BA37" s="813">
        <f t="shared" si="1"/>
        <v>0</v>
      </c>
    </row>
    <row r="38" spans="1:53" ht="16.5">
      <c r="A38" s="134" t="s">
        <v>487</v>
      </c>
      <c r="B38" s="134"/>
      <c r="C38" s="1030"/>
      <c r="D38" s="819"/>
      <c r="E38" s="812"/>
      <c r="F38" s="812"/>
      <c r="G38" s="812"/>
      <c r="H38" s="812"/>
      <c r="I38" s="812"/>
      <c r="J38" s="812"/>
      <c r="K38" s="812"/>
      <c r="L38" s="812"/>
      <c r="M38" s="812"/>
      <c r="N38" s="812"/>
      <c r="O38" s="812"/>
      <c r="P38" s="812"/>
      <c r="Q38" s="812"/>
      <c r="R38" s="812"/>
      <c r="S38" s="812"/>
      <c r="T38" s="812"/>
      <c r="U38" s="812"/>
      <c r="V38" s="812"/>
      <c r="W38" s="812"/>
      <c r="X38" s="812"/>
      <c r="Y38" s="812"/>
      <c r="Z38" s="812"/>
      <c r="AA38" s="812"/>
      <c r="AB38" s="812"/>
      <c r="AC38" s="812"/>
      <c r="AD38" s="812"/>
      <c r="AE38" s="812"/>
      <c r="AF38" s="812"/>
      <c r="AG38" s="812"/>
      <c r="AH38" s="812"/>
      <c r="AI38" s="812"/>
      <c r="AJ38" s="812"/>
      <c r="AK38" s="812"/>
      <c r="AL38" s="812"/>
      <c r="AM38" s="812"/>
      <c r="AN38" s="812"/>
      <c r="AO38" s="812"/>
      <c r="AP38" s="812"/>
      <c r="AQ38" s="812"/>
      <c r="AR38" s="812"/>
      <c r="AS38" s="812"/>
      <c r="AT38" s="812"/>
      <c r="AU38" s="818"/>
      <c r="AV38" s="1275">
        <f t="shared" si="4"/>
        <v>0</v>
      </c>
      <c r="AW38" s="1276">
        <f t="shared" si="5"/>
        <v>0</v>
      </c>
      <c r="AX38" s="818"/>
      <c r="AY38" s="813"/>
      <c r="AZ38" s="813">
        <f t="shared" si="1"/>
        <v>0</v>
      </c>
      <c r="BA38" s="813">
        <f t="shared" si="1"/>
        <v>0</v>
      </c>
    </row>
    <row r="39" spans="1:53" ht="16.5">
      <c r="A39" s="107" t="s">
        <v>488</v>
      </c>
      <c r="B39" s="107">
        <v>24445514</v>
      </c>
      <c r="C39" s="1030">
        <v>23054405</v>
      </c>
      <c r="D39" s="819">
        <v>397433</v>
      </c>
      <c r="E39" s="812">
        <v>994806</v>
      </c>
      <c r="F39" s="812">
        <v>6412167</v>
      </c>
      <c r="G39" s="812">
        <v>6606952</v>
      </c>
      <c r="H39" s="812">
        <v>100575276</v>
      </c>
      <c r="I39" s="812">
        <v>92372517</v>
      </c>
      <c r="J39" s="812">
        <v>5284842</v>
      </c>
      <c r="K39" s="812">
        <v>3351338</v>
      </c>
      <c r="L39" s="812">
        <v>12083641</v>
      </c>
      <c r="M39" s="812">
        <v>11150098</v>
      </c>
      <c r="N39" s="812">
        <v>8481183</v>
      </c>
      <c r="O39" s="812">
        <v>6534034</v>
      </c>
      <c r="P39" s="812">
        <v>2380255</v>
      </c>
      <c r="Q39" s="812">
        <v>3751952</v>
      </c>
      <c r="R39" s="812">
        <v>11072275</v>
      </c>
      <c r="S39" s="812">
        <v>10334870</v>
      </c>
      <c r="T39" s="812">
        <v>1684666</v>
      </c>
      <c r="U39" s="812">
        <v>3056730</v>
      </c>
      <c r="V39" s="812">
        <v>85421141</v>
      </c>
      <c r="W39" s="812">
        <v>58554800</v>
      </c>
      <c r="X39" s="812">
        <v>100807139</v>
      </c>
      <c r="Y39" s="812">
        <v>74152214</v>
      </c>
      <c r="Z39" s="812">
        <v>7037707</v>
      </c>
      <c r="AA39" s="812">
        <v>5634651</v>
      </c>
      <c r="AB39" s="812">
        <v>6202459.46</v>
      </c>
      <c r="AC39" s="812">
        <v>6556227</v>
      </c>
      <c r="AD39" s="812">
        <v>34761613</v>
      </c>
      <c r="AE39" s="812">
        <v>38347433</v>
      </c>
      <c r="AF39" s="812">
        <v>38483728</v>
      </c>
      <c r="AG39" s="812">
        <v>32581186</v>
      </c>
      <c r="AH39" s="812"/>
      <c r="AI39" s="812">
        <v>12248559</v>
      </c>
      <c r="AJ39" s="812">
        <v>12533805</v>
      </c>
      <c r="AK39" s="812">
        <v>1122376</v>
      </c>
      <c r="AL39" s="812"/>
      <c r="AM39" s="812"/>
      <c r="AN39" s="812">
        <v>86047092</v>
      </c>
      <c r="AO39" s="812">
        <v>68279462</v>
      </c>
      <c r="AP39" s="812">
        <v>6347747</v>
      </c>
      <c r="AQ39" s="812">
        <v>5360008</v>
      </c>
      <c r="AR39" s="812">
        <v>5727523</v>
      </c>
      <c r="AS39" s="812">
        <v>5585383</v>
      </c>
      <c r="AT39" s="812">
        <v>21359605</v>
      </c>
      <c r="AU39" s="818">
        <v>19315402</v>
      </c>
      <c r="AV39" s="1275">
        <f t="shared" si="4"/>
        <v>577546811.46</v>
      </c>
      <c r="AW39" s="1276">
        <f t="shared" si="5"/>
        <v>488945403</v>
      </c>
      <c r="AX39" s="818">
        <v>7135667</v>
      </c>
      <c r="AY39" s="813">
        <v>6794176</v>
      </c>
      <c r="AZ39" s="813">
        <f t="shared" si="1"/>
        <v>584682478.46</v>
      </c>
      <c r="BA39" s="813">
        <f t="shared" si="1"/>
        <v>495739579</v>
      </c>
    </row>
    <row r="40" spans="1:53" ht="16.5">
      <c r="A40" s="107" t="s">
        <v>489</v>
      </c>
      <c r="B40" s="107">
        <v>222031995</v>
      </c>
      <c r="C40" s="1030">
        <v>159957458</v>
      </c>
      <c r="D40" s="819">
        <v>20474669</v>
      </c>
      <c r="E40" s="812">
        <v>16784170</v>
      </c>
      <c r="F40" s="812">
        <v>65078826</v>
      </c>
      <c r="G40" s="812">
        <v>56428955</v>
      </c>
      <c r="H40" s="812">
        <v>348597009</v>
      </c>
      <c r="I40" s="812">
        <v>272284048</v>
      </c>
      <c r="J40" s="812">
        <v>74449720</v>
      </c>
      <c r="K40" s="812">
        <v>56671313</v>
      </c>
      <c r="L40" s="812">
        <v>89097288</v>
      </c>
      <c r="M40" s="812">
        <v>61032768</v>
      </c>
      <c r="N40" s="812">
        <v>43453741</v>
      </c>
      <c r="O40" s="812">
        <v>38525951</v>
      </c>
      <c r="P40" s="812">
        <v>26317369</v>
      </c>
      <c r="Q40" s="812">
        <v>19655903</v>
      </c>
      <c r="R40" s="812">
        <v>143654138</v>
      </c>
      <c r="S40" s="812">
        <v>123035577</v>
      </c>
      <c r="T40" s="812">
        <v>42929507</v>
      </c>
      <c r="U40" s="812">
        <v>34716446</v>
      </c>
      <c r="V40" s="812">
        <v>905378342</v>
      </c>
      <c r="W40" s="812">
        <v>671886101</v>
      </c>
      <c r="X40" s="812">
        <v>635725601</v>
      </c>
      <c r="Y40" s="812">
        <v>467503215</v>
      </c>
      <c r="Z40" s="812">
        <v>74859326</v>
      </c>
      <c r="AA40" s="812">
        <v>63655488</v>
      </c>
      <c r="AB40" s="812">
        <v>103659121.95</v>
      </c>
      <c r="AC40" s="812">
        <v>98252311</v>
      </c>
      <c r="AD40" s="812">
        <v>236042315</v>
      </c>
      <c r="AE40" s="812">
        <v>186430867</v>
      </c>
      <c r="AF40" s="812">
        <v>581846549</v>
      </c>
      <c r="AG40" s="812">
        <v>460484108</v>
      </c>
      <c r="AH40" s="812"/>
      <c r="AI40" s="812">
        <v>158973541</v>
      </c>
      <c r="AJ40" s="812">
        <v>170567751</v>
      </c>
      <c r="AK40" s="812">
        <v>143429183</v>
      </c>
      <c r="AL40" s="812"/>
      <c r="AM40" s="812"/>
      <c r="AN40" s="812">
        <v>939364378</v>
      </c>
      <c r="AO40" s="812">
        <v>734199373</v>
      </c>
      <c r="AP40" s="812">
        <v>51262952</v>
      </c>
      <c r="AQ40" s="812">
        <v>38316088</v>
      </c>
      <c r="AR40" s="812">
        <v>85623932</v>
      </c>
      <c r="AS40" s="812">
        <v>65376005</v>
      </c>
      <c r="AT40" s="812">
        <v>277110018</v>
      </c>
      <c r="AU40" s="818">
        <v>200168991</v>
      </c>
      <c r="AV40" s="1275">
        <f t="shared" si="4"/>
        <v>5137524547.95</v>
      </c>
      <c r="AW40" s="1276">
        <f t="shared" si="5"/>
        <v>4127767860</v>
      </c>
      <c r="AX40" s="818">
        <v>34876548570</v>
      </c>
      <c r="AY40" s="813">
        <v>32273091335</v>
      </c>
      <c r="AZ40" s="813">
        <f t="shared" si="1"/>
        <v>40014073117.95</v>
      </c>
      <c r="BA40" s="813">
        <f t="shared" si="1"/>
        <v>36400859195</v>
      </c>
    </row>
    <row r="41" spans="1:53" ht="16.5">
      <c r="A41" s="107" t="s">
        <v>490</v>
      </c>
      <c r="B41" s="107">
        <v>279673381</v>
      </c>
      <c r="C41" s="1030">
        <v>228249409</v>
      </c>
      <c r="D41" s="819">
        <v>10156996</v>
      </c>
      <c r="E41" s="812">
        <v>7772551</v>
      </c>
      <c r="F41" s="812">
        <v>36136934</v>
      </c>
      <c r="G41" s="812">
        <v>27892808</v>
      </c>
      <c r="H41" s="812">
        <v>285609764</v>
      </c>
      <c r="I41" s="812">
        <v>192622615</v>
      </c>
      <c r="J41" s="812">
        <v>14003369</v>
      </c>
      <c r="K41" s="812">
        <v>8996836</v>
      </c>
      <c r="L41" s="812">
        <v>117097288</v>
      </c>
      <c r="M41" s="812">
        <v>81553821</v>
      </c>
      <c r="N41" s="812">
        <v>4066654</v>
      </c>
      <c r="O41" s="812">
        <v>3144462</v>
      </c>
      <c r="P41" s="812">
        <v>13488020</v>
      </c>
      <c r="Q41" s="812">
        <v>7416789</v>
      </c>
      <c r="R41" s="812">
        <v>21477947</v>
      </c>
      <c r="S41" s="812">
        <v>16877028</v>
      </c>
      <c r="T41" s="812">
        <v>6809491</v>
      </c>
      <c r="U41" s="812">
        <v>5701467</v>
      </c>
      <c r="V41" s="812">
        <v>747594945</v>
      </c>
      <c r="W41" s="812">
        <v>541820755</v>
      </c>
      <c r="X41" s="812">
        <v>1385491431</v>
      </c>
      <c r="Y41" s="812">
        <v>970849767</v>
      </c>
      <c r="Z41" s="812">
        <v>35217317</v>
      </c>
      <c r="AA41" s="812">
        <v>25058066</v>
      </c>
      <c r="AB41" s="812">
        <v>59057009.85</v>
      </c>
      <c r="AC41" s="812">
        <v>39561226</v>
      </c>
      <c r="AD41" s="812">
        <v>193733869</v>
      </c>
      <c r="AE41" s="812">
        <v>133475192</v>
      </c>
      <c r="AF41" s="812">
        <v>283736172</v>
      </c>
      <c r="AG41" s="812">
        <v>191641577</v>
      </c>
      <c r="AH41" s="812"/>
      <c r="AI41" s="812">
        <v>52689198</v>
      </c>
      <c r="AJ41" s="812">
        <v>60723967</v>
      </c>
      <c r="AK41" s="812">
        <v>43719552</v>
      </c>
      <c r="AL41" s="812"/>
      <c r="AM41" s="812"/>
      <c r="AN41" s="812">
        <v>1162150186</v>
      </c>
      <c r="AO41" s="812">
        <v>785653270</v>
      </c>
      <c r="AP41" s="812">
        <v>5002397</v>
      </c>
      <c r="AQ41" s="812">
        <v>4333659</v>
      </c>
      <c r="AR41" s="812">
        <v>25582489</v>
      </c>
      <c r="AS41" s="812">
        <v>20212475</v>
      </c>
      <c r="AT41" s="812">
        <v>164343856</v>
      </c>
      <c r="AU41" s="818">
        <v>95022184</v>
      </c>
      <c r="AV41" s="1275">
        <f t="shared" si="4"/>
        <v>4911153482.85</v>
      </c>
      <c r="AW41" s="1276">
        <f t="shared" si="5"/>
        <v>3484264707</v>
      </c>
      <c r="AX41" s="818">
        <v>329495015</v>
      </c>
      <c r="AY41" s="813">
        <v>325097502</v>
      </c>
      <c r="AZ41" s="813">
        <f t="shared" si="1"/>
        <v>5240648497.85</v>
      </c>
      <c r="BA41" s="813">
        <f t="shared" si="1"/>
        <v>3809362209</v>
      </c>
    </row>
    <row r="42" spans="1:53" ht="16.5">
      <c r="A42" s="107" t="s">
        <v>491</v>
      </c>
      <c r="B42" s="107"/>
      <c r="C42" s="1030"/>
      <c r="D42" s="819"/>
      <c r="E42" s="812"/>
      <c r="F42" s="812"/>
      <c r="G42" s="812"/>
      <c r="H42" s="812"/>
      <c r="I42" s="812"/>
      <c r="J42" s="812"/>
      <c r="K42" s="812"/>
      <c r="L42" s="812"/>
      <c r="M42" s="812"/>
      <c r="N42" s="812"/>
      <c r="O42" s="812"/>
      <c r="P42" s="812"/>
      <c r="Q42" s="812"/>
      <c r="R42" s="812"/>
      <c r="S42" s="812"/>
      <c r="T42" s="812"/>
      <c r="U42" s="812"/>
      <c r="V42" s="812"/>
      <c r="W42" s="812"/>
      <c r="X42" s="812"/>
      <c r="Y42" s="812"/>
      <c r="Z42" s="812"/>
      <c r="AA42" s="812"/>
      <c r="AB42" s="812"/>
      <c r="AC42" s="812"/>
      <c r="AD42" s="812"/>
      <c r="AE42" s="812"/>
      <c r="AF42" s="812"/>
      <c r="AG42" s="812"/>
      <c r="AH42" s="812"/>
      <c r="AI42" s="812"/>
      <c r="AJ42" s="812"/>
      <c r="AK42" s="812"/>
      <c r="AL42" s="812"/>
      <c r="AM42" s="812"/>
      <c r="AN42" s="812"/>
      <c r="AO42" s="812"/>
      <c r="AP42" s="812"/>
      <c r="AQ42" s="812"/>
      <c r="AR42" s="812"/>
      <c r="AS42" s="812"/>
      <c r="AT42" s="812"/>
      <c r="AU42" s="818"/>
      <c r="AV42" s="1275">
        <f t="shared" si="4"/>
        <v>0</v>
      </c>
      <c r="AW42" s="1276">
        <f t="shared" si="5"/>
        <v>0</v>
      </c>
      <c r="AX42" s="818"/>
      <c r="AY42" s="813"/>
      <c r="AZ42" s="813">
        <f t="shared" si="1"/>
        <v>0</v>
      </c>
      <c r="BA42" s="813">
        <f t="shared" si="1"/>
        <v>0</v>
      </c>
    </row>
    <row r="43" spans="1:53" ht="16.5">
      <c r="A43" s="107" t="s">
        <v>492</v>
      </c>
      <c r="B43" s="107">
        <v>2149461</v>
      </c>
      <c r="C43" s="1030">
        <v>1662941</v>
      </c>
      <c r="D43" s="819">
        <v>702743</v>
      </c>
      <c r="E43" s="812">
        <v>683493</v>
      </c>
      <c r="F43" s="812"/>
      <c r="G43" s="812"/>
      <c r="H43" s="812">
        <v>4660330</v>
      </c>
      <c r="I43" s="812">
        <v>4174678</v>
      </c>
      <c r="J43" s="812">
        <v>260098</v>
      </c>
      <c r="K43" s="812">
        <v>180478</v>
      </c>
      <c r="L43" s="812">
        <v>33354</v>
      </c>
      <c r="M43" s="812">
        <v>10576</v>
      </c>
      <c r="N43" s="812">
        <v>633786</v>
      </c>
      <c r="O43" s="812">
        <v>387320</v>
      </c>
      <c r="P43" s="812">
        <v>147985</v>
      </c>
      <c r="Q43" s="812">
        <v>98338</v>
      </c>
      <c r="R43" s="812">
        <v>5332485</v>
      </c>
      <c r="S43" s="812">
        <v>4570194</v>
      </c>
      <c r="T43" s="812">
        <v>264135</v>
      </c>
      <c r="U43" s="812">
        <v>159030</v>
      </c>
      <c r="V43" s="812">
        <v>4240491</v>
      </c>
      <c r="W43" s="812">
        <v>2990512</v>
      </c>
      <c r="X43" s="812">
        <v>6628206</v>
      </c>
      <c r="Y43" s="812">
        <v>4630874</v>
      </c>
      <c r="Z43" s="812">
        <v>98054</v>
      </c>
      <c r="AA43" s="812">
        <v>74790</v>
      </c>
      <c r="AB43" s="812">
        <v>143482.22</v>
      </c>
      <c r="AC43" s="812">
        <v>86556</v>
      </c>
      <c r="AD43" s="812">
        <v>642898</v>
      </c>
      <c r="AE43" s="812">
        <v>891538</v>
      </c>
      <c r="AF43" s="812">
        <v>5322246</v>
      </c>
      <c r="AG43" s="812">
        <v>4264484</v>
      </c>
      <c r="AH43" s="812"/>
      <c r="AI43" s="812">
        <v>582598</v>
      </c>
      <c r="AJ43" s="812">
        <v>635462</v>
      </c>
      <c r="AK43" s="812">
        <v>501103</v>
      </c>
      <c r="AL43" s="812"/>
      <c r="AM43" s="812"/>
      <c r="AN43" s="812">
        <v>3580781</v>
      </c>
      <c r="AO43" s="812">
        <v>3644815</v>
      </c>
      <c r="AP43" s="812">
        <v>630349</v>
      </c>
      <c r="AQ43" s="812">
        <v>431534</v>
      </c>
      <c r="AR43" s="812">
        <v>129071</v>
      </c>
      <c r="AS43" s="812">
        <v>104707</v>
      </c>
      <c r="AT43" s="812">
        <v>4686745</v>
      </c>
      <c r="AU43" s="818">
        <v>4201429</v>
      </c>
      <c r="AV43" s="1275">
        <f t="shared" si="4"/>
        <v>40922162.22</v>
      </c>
      <c r="AW43" s="1276">
        <f t="shared" si="5"/>
        <v>34331988</v>
      </c>
      <c r="AX43" s="818">
        <v>1077833376</v>
      </c>
      <c r="AY43" s="813">
        <v>1078226723</v>
      </c>
      <c r="AZ43" s="813">
        <f t="shared" si="1"/>
        <v>1118755538.22</v>
      </c>
      <c r="BA43" s="813">
        <f t="shared" si="1"/>
        <v>1112558711</v>
      </c>
    </row>
    <row r="44" spans="1:53" ht="16.5">
      <c r="A44" s="107" t="s">
        <v>493</v>
      </c>
      <c r="B44" s="107">
        <v>970545</v>
      </c>
      <c r="C44" s="1030">
        <v>959821</v>
      </c>
      <c r="D44" s="819">
        <v>978770</v>
      </c>
      <c r="E44" s="812">
        <v>783539</v>
      </c>
      <c r="F44" s="812">
        <v>141113</v>
      </c>
      <c r="G44" s="812">
        <v>124115</v>
      </c>
      <c r="H44" s="812">
        <v>3647237</v>
      </c>
      <c r="I44" s="812">
        <v>3418367</v>
      </c>
      <c r="J44" s="812">
        <v>207896</v>
      </c>
      <c r="K44" s="812">
        <v>226702</v>
      </c>
      <c r="L44" s="812">
        <v>442724</v>
      </c>
      <c r="M44" s="812">
        <v>360807</v>
      </c>
      <c r="N44" s="812">
        <v>266184</v>
      </c>
      <c r="O44" s="812">
        <v>381473</v>
      </c>
      <c r="P44" s="812">
        <v>924611</v>
      </c>
      <c r="Q44" s="812">
        <v>1078554</v>
      </c>
      <c r="R44" s="812">
        <v>318355</v>
      </c>
      <c r="S44" s="812">
        <v>377518</v>
      </c>
      <c r="T44" s="812">
        <v>792981</v>
      </c>
      <c r="U44" s="812">
        <v>717910</v>
      </c>
      <c r="V44" s="812">
        <v>3401488</v>
      </c>
      <c r="W44" s="812">
        <v>3301251</v>
      </c>
      <c r="X44" s="812">
        <v>4573467</v>
      </c>
      <c r="Y44" s="812">
        <v>4777557</v>
      </c>
      <c r="Z44" s="812">
        <v>1285501</v>
      </c>
      <c r="AA44" s="812">
        <v>1339916</v>
      </c>
      <c r="AB44" s="812">
        <v>274144.97</v>
      </c>
      <c r="AC44" s="812">
        <v>425534</v>
      </c>
      <c r="AD44" s="812">
        <v>844481</v>
      </c>
      <c r="AE44" s="812">
        <v>838725</v>
      </c>
      <c r="AF44" s="812">
        <v>2213216</v>
      </c>
      <c r="AG44" s="812">
        <v>2187050</v>
      </c>
      <c r="AH44" s="812"/>
      <c r="AI44" s="812">
        <v>1145174</v>
      </c>
      <c r="AJ44" s="812">
        <v>601338</v>
      </c>
      <c r="AK44" s="812">
        <v>525316</v>
      </c>
      <c r="AL44" s="812"/>
      <c r="AM44" s="812"/>
      <c r="AN44" s="812">
        <v>5654309</v>
      </c>
      <c r="AO44" s="812">
        <v>5811847</v>
      </c>
      <c r="AP44" s="812">
        <v>651753</v>
      </c>
      <c r="AQ44" s="812">
        <v>685394</v>
      </c>
      <c r="AR44" s="812">
        <v>259306</v>
      </c>
      <c r="AS44" s="812">
        <v>233883</v>
      </c>
      <c r="AT44" s="812">
        <v>1915885</v>
      </c>
      <c r="AU44" s="818">
        <v>1949107</v>
      </c>
      <c r="AV44" s="1275">
        <f t="shared" si="4"/>
        <v>30365304.97</v>
      </c>
      <c r="AW44" s="1276">
        <f t="shared" si="5"/>
        <v>31649560</v>
      </c>
      <c r="AX44" s="818">
        <v>34533862</v>
      </c>
      <c r="AY44" s="813">
        <v>30138240</v>
      </c>
      <c r="AZ44" s="813">
        <f t="shared" si="1"/>
        <v>64899166.97</v>
      </c>
      <c r="BA44" s="813">
        <f t="shared" si="1"/>
        <v>61787800</v>
      </c>
    </row>
    <row r="45" spans="1:53" ht="16.5">
      <c r="A45" s="134" t="s">
        <v>494</v>
      </c>
      <c r="B45" s="134"/>
      <c r="C45" s="1030"/>
      <c r="D45" s="819"/>
      <c r="E45" s="812"/>
      <c r="F45" s="812"/>
      <c r="G45" s="812"/>
      <c r="H45" s="812"/>
      <c r="I45" s="812"/>
      <c r="J45" s="812"/>
      <c r="K45" s="812"/>
      <c r="L45" s="812"/>
      <c r="M45" s="812"/>
      <c r="N45" s="812"/>
      <c r="O45" s="812"/>
      <c r="P45" s="812"/>
      <c r="Q45" s="812"/>
      <c r="R45" s="812"/>
      <c r="S45" s="812"/>
      <c r="T45" s="812"/>
      <c r="U45" s="812"/>
      <c r="V45" s="812"/>
      <c r="W45" s="812"/>
      <c r="X45" s="812"/>
      <c r="Y45" s="812"/>
      <c r="Z45" s="812"/>
      <c r="AA45" s="812"/>
      <c r="AB45" s="812"/>
      <c r="AC45" s="812"/>
      <c r="AD45" s="812"/>
      <c r="AE45" s="812"/>
      <c r="AF45" s="812"/>
      <c r="AG45" s="812"/>
      <c r="AH45" s="812"/>
      <c r="AI45" s="812"/>
      <c r="AJ45" s="812"/>
      <c r="AK45" s="812"/>
      <c r="AL45" s="812"/>
      <c r="AM45" s="812"/>
      <c r="AN45" s="812"/>
      <c r="AO45" s="812"/>
      <c r="AP45" s="812"/>
      <c r="AQ45" s="812"/>
      <c r="AR45" s="812"/>
      <c r="AS45" s="812"/>
      <c r="AT45" s="812"/>
      <c r="AU45" s="818"/>
      <c r="AV45" s="1275">
        <f t="shared" si="4"/>
        <v>0</v>
      </c>
      <c r="AW45" s="1276">
        <f t="shared" si="5"/>
        <v>0</v>
      </c>
      <c r="AX45" s="818"/>
      <c r="AY45" s="813"/>
      <c r="AZ45" s="813">
        <f t="shared" si="1"/>
        <v>0</v>
      </c>
      <c r="BA45" s="813">
        <f t="shared" si="1"/>
        <v>0</v>
      </c>
    </row>
    <row r="46" spans="1:53" ht="16.5">
      <c r="A46" s="134" t="s">
        <v>495</v>
      </c>
      <c r="B46" s="134"/>
      <c r="C46" s="1030"/>
      <c r="D46" s="819"/>
      <c r="E46" s="812"/>
      <c r="F46" s="812"/>
      <c r="G46" s="812"/>
      <c r="H46" s="812"/>
      <c r="I46" s="812"/>
      <c r="J46" s="812"/>
      <c r="K46" s="812"/>
      <c r="L46" s="812"/>
      <c r="M46" s="812"/>
      <c r="N46" s="812">
        <v>198028</v>
      </c>
      <c r="O46" s="812">
        <v>294139</v>
      </c>
      <c r="P46" s="812"/>
      <c r="Q46" s="812"/>
      <c r="R46" s="812">
        <v>23972</v>
      </c>
      <c r="S46" s="812">
        <v>89627</v>
      </c>
      <c r="T46" s="812"/>
      <c r="U46" s="812"/>
      <c r="V46" s="812"/>
      <c r="W46" s="812"/>
      <c r="X46" s="812"/>
      <c r="Y46" s="812"/>
      <c r="Z46" s="812"/>
      <c r="AA46" s="812"/>
      <c r="AB46" s="812"/>
      <c r="AC46" s="812"/>
      <c r="AD46" s="812"/>
      <c r="AE46" s="812"/>
      <c r="AF46" s="812"/>
      <c r="AG46" s="812"/>
      <c r="AH46" s="812"/>
      <c r="AI46" s="812"/>
      <c r="AJ46" s="812"/>
      <c r="AK46" s="812"/>
      <c r="AL46" s="812"/>
      <c r="AM46" s="812"/>
      <c r="AN46" s="812"/>
      <c r="AO46" s="812"/>
      <c r="AP46" s="812"/>
      <c r="AQ46" s="812"/>
      <c r="AR46" s="812"/>
      <c r="AS46" s="812"/>
      <c r="AT46" s="812"/>
      <c r="AU46" s="818"/>
      <c r="AV46" s="1275">
        <f t="shared" si="4"/>
        <v>222000</v>
      </c>
      <c r="AW46" s="1276">
        <f t="shared" si="5"/>
        <v>383766</v>
      </c>
      <c r="AX46" s="818"/>
      <c r="AY46" s="813"/>
      <c r="AZ46" s="813">
        <f t="shared" si="1"/>
        <v>222000</v>
      </c>
      <c r="BA46" s="813">
        <f t="shared" si="1"/>
        <v>383766</v>
      </c>
    </row>
    <row r="47" spans="1:53" ht="16.5">
      <c r="A47" s="107" t="s">
        <v>496</v>
      </c>
      <c r="B47" s="107">
        <v>2554156</v>
      </c>
      <c r="C47" s="1030">
        <v>4409316</v>
      </c>
      <c r="D47" s="819">
        <v>384752</v>
      </c>
      <c r="E47" s="812">
        <v>521564</v>
      </c>
      <c r="F47" s="812">
        <v>736329</v>
      </c>
      <c r="G47" s="812">
        <v>697796</v>
      </c>
      <c r="H47" s="812">
        <v>3945088</v>
      </c>
      <c r="I47" s="812">
        <v>2829156</v>
      </c>
      <c r="J47" s="812">
        <v>928696</v>
      </c>
      <c r="K47" s="812">
        <v>2255904</v>
      </c>
      <c r="L47" s="812">
        <v>2715642</v>
      </c>
      <c r="M47" s="812">
        <v>1681610</v>
      </c>
      <c r="N47" s="812">
        <v>481333</v>
      </c>
      <c r="O47" s="812">
        <v>634937</v>
      </c>
      <c r="P47" s="812">
        <v>950955</v>
      </c>
      <c r="Q47" s="812">
        <v>904592</v>
      </c>
      <c r="R47" s="812">
        <v>2897760</v>
      </c>
      <c r="S47" s="812">
        <v>2550412</v>
      </c>
      <c r="T47" s="812">
        <v>1093421</v>
      </c>
      <c r="U47" s="812">
        <v>679491</v>
      </c>
      <c r="V47" s="812">
        <v>10355595</v>
      </c>
      <c r="W47" s="812">
        <v>6798682</v>
      </c>
      <c r="X47" s="812">
        <v>5583418</v>
      </c>
      <c r="Y47" s="812">
        <v>8119160</v>
      </c>
      <c r="Z47" s="812">
        <v>962488</v>
      </c>
      <c r="AA47" s="812">
        <v>810612</v>
      </c>
      <c r="AB47" s="812">
        <v>1964826.79</v>
      </c>
      <c r="AC47" s="812">
        <v>1424910</v>
      </c>
      <c r="AD47" s="812">
        <v>4869881</v>
      </c>
      <c r="AE47" s="812">
        <v>3672926</v>
      </c>
      <c r="AF47" s="812">
        <v>5792342</v>
      </c>
      <c r="AG47" s="812">
        <v>4059852</v>
      </c>
      <c r="AH47" s="812"/>
      <c r="AI47" s="812">
        <v>3294090</v>
      </c>
      <c r="AJ47" s="812">
        <v>2941149</v>
      </c>
      <c r="AK47" s="812">
        <v>2340325</v>
      </c>
      <c r="AL47" s="812"/>
      <c r="AM47" s="812"/>
      <c r="AN47" s="812">
        <v>27105185</v>
      </c>
      <c r="AO47" s="812">
        <v>14232265</v>
      </c>
      <c r="AP47" s="812">
        <v>1960099</v>
      </c>
      <c r="AQ47" s="812">
        <v>1152523</v>
      </c>
      <c r="AR47" s="812">
        <v>1884140</v>
      </c>
      <c r="AS47" s="812">
        <v>366691</v>
      </c>
      <c r="AT47" s="812">
        <v>6044760</v>
      </c>
      <c r="AU47" s="818">
        <v>3514153</v>
      </c>
      <c r="AV47" s="1275">
        <f t="shared" si="4"/>
        <v>86152015.78999999</v>
      </c>
      <c r="AW47" s="1276">
        <f t="shared" si="5"/>
        <v>66950967</v>
      </c>
      <c r="AX47" s="818">
        <v>302932545</v>
      </c>
      <c r="AY47" s="813">
        <v>285812324</v>
      </c>
      <c r="AZ47" s="813">
        <f t="shared" si="1"/>
        <v>389084560.78999996</v>
      </c>
      <c r="BA47" s="813">
        <f t="shared" si="1"/>
        <v>352763291</v>
      </c>
    </row>
    <row r="48" spans="1:53" ht="16.5">
      <c r="A48" s="107" t="s">
        <v>497</v>
      </c>
      <c r="B48" s="107">
        <v>13447485</v>
      </c>
      <c r="C48" s="1030">
        <v>13106826</v>
      </c>
      <c r="D48" s="819">
        <v>1514007</v>
      </c>
      <c r="E48" s="812">
        <v>1362420</v>
      </c>
      <c r="F48" s="812">
        <v>4616204</v>
      </c>
      <c r="G48" s="812">
        <v>4785809</v>
      </c>
      <c r="H48" s="812">
        <v>17524594</v>
      </c>
      <c r="I48" s="812">
        <v>23804018</v>
      </c>
      <c r="J48" s="812">
        <v>4593206</v>
      </c>
      <c r="K48" s="812">
        <v>4765122</v>
      </c>
      <c r="L48" s="812">
        <v>3959311</v>
      </c>
      <c r="M48" s="812">
        <v>3671807</v>
      </c>
      <c r="N48" s="812">
        <v>3414476</v>
      </c>
      <c r="O48" s="812">
        <v>4209341</v>
      </c>
      <c r="P48" s="812">
        <v>2947936</v>
      </c>
      <c r="Q48" s="812">
        <v>2950436</v>
      </c>
      <c r="R48" s="812">
        <v>6617164</v>
      </c>
      <c r="S48" s="812">
        <v>7068307</v>
      </c>
      <c r="T48" s="812">
        <v>2407806</v>
      </c>
      <c r="U48" s="812">
        <v>2510668</v>
      </c>
      <c r="V48" s="812">
        <v>39287475</v>
      </c>
      <c r="W48" s="812">
        <v>36271688</v>
      </c>
      <c r="X48" s="812">
        <v>33389685</v>
      </c>
      <c r="Y48" s="812">
        <v>30275412</v>
      </c>
      <c r="Z48" s="812">
        <v>5547635</v>
      </c>
      <c r="AA48" s="812">
        <v>5110309</v>
      </c>
      <c r="AB48" s="812">
        <v>5225108.59</v>
      </c>
      <c r="AC48" s="812">
        <v>6426186</v>
      </c>
      <c r="AD48" s="812">
        <v>11817153</v>
      </c>
      <c r="AE48" s="812">
        <v>11831508</v>
      </c>
      <c r="AF48" s="812">
        <v>24347659</v>
      </c>
      <c r="AG48" s="812">
        <v>22505996</v>
      </c>
      <c r="AH48" s="812"/>
      <c r="AI48" s="812">
        <v>9448447</v>
      </c>
      <c r="AJ48" s="812">
        <v>9381754</v>
      </c>
      <c r="AK48" s="812">
        <v>10869500</v>
      </c>
      <c r="AL48" s="812"/>
      <c r="AM48" s="812"/>
      <c r="AN48" s="812">
        <v>44402454</v>
      </c>
      <c r="AO48" s="812">
        <v>43980840</v>
      </c>
      <c r="AP48" s="812">
        <v>3691028</v>
      </c>
      <c r="AQ48" s="812">
        <v>3581567</v>
      </c>
      <c r="AR48" s="812">
        <v>5069044</v>
      </c>
      <c r="AS48" s="812">
        <v>4993598</v>
      </c>
      <c r="AT48" s="812">
        <v>15706884</v>
      </c>
      <c r="AU48" s="818">
        <v>10828818</v>
      </c>
      <c r="AV48" s="1275">
        <f t="shared" si="4"/>
        <v>258908068.59</v>
      </c>
      <c r="AW48" s="1276">
        <f t="shared" si="5"/>
        <v>264358623</v>
      </c>
      <c r="AX48" s="818">
        <v>1489077750</v>
      </c>
      <c r="AY48" s="813">
        <v>1435839851</v>
      </c>
      <c r="AZ48" s="813">
        <f t="shared" si="1"/>
        <v>1747985818.59</v>
      </c>
      <c r="BA48" s="813">
        <f t="shared" si="1"/>
        <v>1700198474</v>
      </c>
    </row>
    <row r="49" spans="1:53" ht="18">
      <c r="A49" s="134" t="s">
        <v>498</v>
      </c>
      <c r="B49" s="134">
        <v>16001641</v>
      </c>
      <c r="C49" s="1031">
        <v>17516142</v>
      </c>
      <c r="D49" s="1032">
        <v>1898759</v>
      </c>
      <c r="E49" s="1034">
        <v>1883984</v>
      </c>
      <c r="F49" s="1034">
        <v>5352533</v>
      </c>
      <c r="G49" s="1034">
        <v>5483605</v>
      </c>
      <c r="H49" s="1034">
        <v>21469682</v>
      </c>
      <c r="I49" s="1034">
        <v>26633174</v>
      </c>
      <c r="J49" s="1034">
        <v>5521902</v>
      </c>
      <c r="K49" s="1034">
        <v>7021026</v>
      </c>
      <c r="L49" s="1034">
        <v>6674953</v>
      </c>
      <c r="M49" s="1034">
        <v>5353417</v>
      </c>
      <c r="N49" s="1034">
        <v>3895809</v>
      </c>
      <c r="O49" s="1034">
        <v>4844278</v>
      </c>
      <c r="P49" s="1034">
        <v>3898891</v>
      </c>
      <c r="Q49" s="1034">
        <v>3855028</v>
      </c>
      <c r="R49" s="1034">
        <v>9514923</v>
      </c>
      <c r="S49" s="1034">
        <v>9618718</v>
      </c>
      <c r="T49" s="1034">
        <v>3501227</v>
      </c>
      <c r="U49" s="1034">
        <v>3190159</v>
      </c>
      <c r="V49" s="1034">
        <v>49643070</v>
      </c>
      <c r="W49" s="1034">
        <v>43070370</v>
      </c>
      <c r="X49" s="1034">
        <v>38973103</v>
      </c>
      <c r="Y49" s="1034">
        <v>38394572</v>
      </c>
      <c r="Z49" s="1034">
        <v>6510123</v>
      </c>
      <c r="AA49" s="1034">
        <v>5920921</v>
      </c>
      <c r="AB49" s="1034">
        <v>7189935.38</v>
      </c>
      <c r="AC49" s="1034">
        <v>7851096</v>
      </c>
      <c r="AD49" s="1034">
        <v>16687034</v>
      </c>
      <c r="AE49" s="1034">
        <v>15504434</v>
      </c>
      <c r="AF49" s="1034">
        <v>30140001</v>
      </c>
      <c r="AG49" s="1034">
        <v>26565848</v>
      </c>
      <c r="AH49" s="1034"/>
      <c r="AI49" s="1034">
        <v>12742537</v>
      </c>
      <c r="AJ49" s="1034">
        <v>12322903</v>
      </c>
      <c r="AK49" s="1034">
        <v>13209825</v>
      </c>
      <c r="AL49" s="1034"/>
      <c r="AM49" s="1034"/>
      <c r="AN49" s="1034">
        <v>71507639</v>
      </c>
      <c r="AO49" s="1034">
        <v>58213105</v>
      </c>
      <c r="AP49" s="1034">
        <v>5651127</v>
      </c>
      <c r="AQ49" s="1034">
        <v>4734091</v>
      </c>
      <c r="AR49" s="1034">
        <v>6953184</v>
      </c>
      <c r="AS49" s="1034">
        <v>5360289</v>
      </c>
      <c r="AT49" s="1034">
        <v>21751644</v>
      </c>
      <c r="AU49" s="1035">
        <v>14342971</v>
      </c>
      <c r="AV49" s="1275">
        <f t="shared" si="4"/>
        <v>345060083.38</v>
      </c>
      <c r="AW49" s="1276">
        <f t="shared" si="5"/>
        <v>331309590</v>
      </c>
      <c r="AX49" s="818">
        <v>1792010295</v>
      </c>
      <c r="AY49" s="1033">
        <v>1721652175</v>
      </c>
      <c r="AZ49" s="813">
        <f t="shared" si="1"/>
        <v>2137070378.38</v>
      </c>
      <c r="BA49" s="813">
        <f t="shared" si="1"/>
        <v>2052961765</v>
      </c>
    </row>
    <row r="50" spans="1:53" ht="16.5">
      <c r="A50" s="107" t="s">
        <v>499</v>
      </c>
      <c r="B50" s="107">
        <v>11490681</v>
      </c>
      <c r="C50" s="1030">
        <v>9830502</v>
      </c>
      <c r="D50" s="819">
        <v>1502895</v>
      </c>
      <c r="E50" s="812">
        <v>1375506</v>
      </c>
      <c r="F50" s="812">
        <v>4790844</v>
      </c>
      <c r="G50" s="812">
        <v>4306912</v>
      </c>
      <c r="H50" s="812">
        <v>16181288</v>
      </c>
      <c r="I50" s="812">
        <v>17251737</v>
      </c>
      <c r="J50" s="812">
        <v>4601392</v>
      </c>
      <c r="K50" s="812">
        <v>3196970</v>
      </c>
      <c r="L50" s="812">
        <v>7543708</v>
      </c>
      <c r="M50" s="812">
        <v>3924787</v>
      </c>
      <c r="N50" s="812">
        <v>1468119</v>
      </c>
      <c r="O50" s="812">
        <v>2558006</v>
      </c>
      <c r="P50" s="812">
        <v>2730794</v>
      </c>
      <c r="Q50" s="812">
        <v>2307249</v>
      </c>
      <c r="R50" s="812">
        <v>6153457</v>
      </c>
      <c r="S50" s="812">
        <v>5227202</v>
      </c>
      <c r="T50" s="812">
        <v>2449115</v>
      </c>
      <c r="U50" s="812">
        <v>2594274</v>
      </c>
      <c r="V50" s="812">
        <v>64231827</v>
      </c>
      <c r="W50" s="812">
        <v>49019138</v>
      </c>
      <c r="X50" s="812">
        <v>37073620</v>
      </c>
      <c r="Y50" s="812">
        <v>33045792</v>
      </c>
      <c r="Z50" s="812">
        <v>2170655</v>
      </c>
      <c r="AA50" s="812">
        <v>1811794</v>
      </c>
      <c r="AB50" s="812">
        <v>5250232.6</v>
      </c>
      <c r="AC50" s="812">
        <v>5255898</v>
      </c>
      <c r="AD50" s="812">
        <v>17603847</v>
      </c>
      <c r="AE50" s="812">
        <v>14882085</v>
      </c>
      <c r="AF50" s="812">
        <v>29087712</v>
      </c>
      <c r="AG50" s="812">
        <v>19638740</v>
      </c>
      <c r="AH50" s="812"/>
      <c r="AI50" s="812">
        <v>10074565</v>
      </c>
      <c r="AJ50" s="812">
        <v>8847227</v>
      </c>
      <c r="AK50" s="812">
        <v>8801199</v>
      </c>
      <c r="AL50" s="812"/>
      <c r="AM50" s="812"/>
      <c r="AN50" s="812">
        <v>38050146</v>
      </c>
      <c r="AO50" s="812">
        <v>27837859</v>
      </c>
      <c r="AP50" s="812">
        <v>2644321</v>
      </c>
      <c r="AQ50" s="812">
        <v>2103617</v>
      </c>
      <c r="AR50" s="812">
        <v>2998485</v>
      </c>
      <c r="AS50" s="812">
        <v>1580651</v>
      </c>
      <c r="AT50" s="812">
        <v>17175785</v>
      </c>
      <c r="AU50" s="818">
        <v>15371576</v>
      </c>
      <c r="AV50" s="1275">
        <f t="shared" si="4"/>
        <v>284046150.6</v>
      </c>
      <c r="AW50" s="1276">
        <f t="shared" si="5"/>
        <v>241996059</v>
      </c>
      <c r="AX50" s="818">
        <v>679101785</v>
      </c>
      <c r="AY50" s="813">
        <v>621267348</v>
      </c>
      <c r="AZ50" s="813">
        <f t="shared" si="1"/>
        <v>963147935.6</v>
      </c>
      <c r="BA50" s="813">
        <f t="shared" si="1"/>
        <v>863263407</v>
      </c>
    </row>
    <row r="51" spans="1:53" ht="16.5">
      <c r="A51" s="107" t="s">
        <v>500</v>
      </c>
      <c r="B51" s="107">
        <v>1186803</v>
      </c>
      <c r="C51" s="1030">
        <v>708501</v>
      </c>
      <c r="D51" s="819">
        <v>18976</v>
      </c>
      <c r="E51" s="812">
        <v>39273</v>
      </c>
      <c r="F51" s="812">
        <v>129370</v>
      </c>
      <c r="G51" s="812">
        <v>106301</v>
      </c>
      <c r="H51" s="812">
        <v>4073141</v>
      </c>
      <c r="I51" s="812">
        <v>4048662</v>
      </c>
      <c r="J51" s="812">
        <v>518378</v>
      </c>
      <c r="K51" s="812">
        <v>338438</v>
      </c>
      <c r="L51" s="812">
        <v>193224</v>
      </c>
      <c r="M51" s="812">
        <v>121448</v>
      </c>
      <c r="N51" s="812">
        <v>2021269</v>
      </c>
      <c r="O51" s="812">
        <v>1563540</v>
      </c>
      <c r="P51" s="812">
        <v>33437</v>
      </c>
      <c r="Q51" s="812">
        <v>18466</v>
      </c>
      <c r="R51" s="812">
        <v>430849</v>
      </c>
      <c r="S51" s="812">
        <v>534255</v>
      </c>
      <c r="T51" s="812">
        <v>198449</v>
      </c>
      <c r="U51" s="812">
        <v>49821</v>
      </c>
      <c r="V51" s="812">
        <v>789375</v>
      </c>
      <c r="W51" s="812">
        <v>750163</v>
      </c>
      <c r="X51" s="812">
        <v>232283</v>
      </c>
      <c r="Y51" s="812">
        <v>275269</v>
      </c>
      <c r="Z51" s="812">
        <v>72869</v>
      </c>
      <c r="AA51" s="812">
        <v>72506</v>
      </c>
      <c r="AB51" s="812">
        <v>10522.6</v>
      </c>
      <c r="AC51" s="812">
        <v>32118</v>
      </c>
      <c r="AD51" s="812">
        <v>2918710</v>
      </c>
      <c r="AE51" s="812">
        <v>2154661</v>
      </c>
      <c r="AF51" s="812">
        <v>425881</v>
      </c>
      <c r="AG51" s="812">
        <v>637382</v>
      </c>
      <c r="AH51" s="812"/>
      <c r="AI51" s="812">
        <v>342637</v>
      </c>
      <c r="AJ51" s="812">
        <v>617246</v>
      </c>
      <c r="AK51" s="812">
        <v>557445</v>
      </c>
      <c r="AL51" s="812"/>
      <c r="AM51" s="812"/>
      <c r="AN51" s="812">
        <v>4333561</v>
      </c>
      <c r="AO51" s="812">
        <v>2385126</v>
      </c>
      <c r="AP51" s="812">
        <v>584621</v>
      </c>
      <c r="AQ51" s="812">
        <v>235710</v>
      </c>
      <c r="AR51" s="812">
        <v>27025</v>
      </c>
      <c r="AS51" s="812">
        <v>34364</v>
      </c>
      <c r="AT51" s="812">
        <v>556582</v>
      </c>
      <c r="AU51" s="818">
        <v>436238</v>
      </c>
      <c r="AV51" s="1275">
        <f t="shared" si="4"/>
        <v>19372571.6</v>
      </c>
      <c r="AW51" s="1276">
        <f t="shared" si="5"/>
        <v>15442324</v>
      </c>
      <c r="AX51" s="818">
        <v>149430560</v>
      </c>
      <c r="AY51" s="813">
        <v>176407989</v>
      </c>
      <c r="AZ51" s="813">
        <f t="shared" si="1"/>
        <v>168803131.6</v>
      </c>
      <c r="BA51" s="813">
        <f t="shared" si="1"/>
        <v>191850313</v>
      </c>
    </row>
    <row r="52" spans="1:53" ht="18">
      <c r="A52" s="134" t="s">
        <v>501</v>
      </c>
      <c r="B52" s="134">
        <v>12677484</v>
      </c>
      <c r="C52" s="1031">
        <f>C50+C51</f>
        <v>10539003</v>
      </c>
      <c r="D52" s="1032">
        <v>1521871</v>
      </c>
      <c r="E52" s="1032">
        <f aca="true" t="shared" si="6" ref="E52:AU52">E50+E51</f>
        <v>1414779</v>
      </c>
      <c r="F52" s="1032">
        <v>4920214</v>
      </c>
      <c r="G52" s="1032">
        <f t="shared" si="6"/>
        <v>4413213</v>
      </c>
      <c r="H52" s="1032">
        <v>20254429</v>
      </c>
      <c r="I52" s="1032">
        <f t="shared" si="6"/>
        <v>21300399</v>
      </c>
      <c r="J52" s="1032">
        <v>5119770</v>
      </c>
      <c r="K52" s="1032">
        <f t="shared" si="6"/>
        <v>3535408</v>
      </c>
      <c r="L52" s="1032">
        <v>7736932</v>
      </c>
      <c r="M52" s="1032">
        <f t="shared" si="6"/>
        <v>4046235</v>
      </c>
      <c r="N52" s="1032">
        <v>3489388</v>
      </c>
      <c r="O52" s="1032">
        <f t="shared" si="6"/>
        <v>4121546</v>
      </c>
      <c r="P52" s="1032">
        <v>2764231</v>
      </c>
      <c r="Q52" s="1032">
        <f t="shared" si="6"/>
        <v>2325715</v>
      </c>
      <c r="R52" s="1032">
        <v>6584306</v>
      </c>
      <c r="S52" s="1032">
        <f t="shared" si="6"/>
        <v>5761457</v>
      </c>
      <c r="T52" s="1032">
        <f t="shared" si="6"/>
        <v>2647564</v>
      </c>
      <c r="U52" s="1032">
        <f t="shared" si="6"/>
        <v>2644095</v>
      </c>
      <c r="V52" s="1032">
        <v>65021202</v>
      </c>
      <c r="W52" s="1032">
        <f t="shared" si="6"/>
        <v>49769301</v>
      </c>
      <c r="X52" s="1032">
        <v>37305903</v>
      </c>
      <c r="Y52" s="1032">
        <f t="shared" si="6"/>
        <v>33321061</v>
      </c>
      <c r="Z52" s="1032">
        <v>2243524</v>
      </c>
      <c r="AA52" s="1032">
        <f t="shared" si="6"/>
        <v>1884300</v>
      </c>
      <c r="AB52" s="1032">
        <v>5260755.2</v>
      </c>
      <c r="AC52" s="1032">
        <f t="shared" si="6"/>
        <v>5288016</v>
      </c>
      <c r="AD52" s="1032">
        <v>20522557</v>
      </c>
      <c r="AE52" s="1032">
        <f t="shared" si="6"/>
        <v>17036746</v>
      </c>
      <c r="AF52" s="1032">
        <v>29513593</v>
      </c>
      <c r="AG52" s="1032">
        <f t="shared" si="6"/>
        <v>20276122</v>
      </c>
      <c r="AH52" s="1032"/>
      <c r="AI52" s="1032">
        <f t="shared" si="6"/>
        <v>10417202</v>
      </c>
      <c r="AJ52" s="1032">
        <v>9464473</v>
      </c>
      <c r="AK52" s="1032">
        <f t="shared" si="6"/>
        <v>9358644</v>
      </c>
      <c r="AL52" s="1032"/>
      <c r="AM52" s="1032">
        <f t="shared" si="6"/>
        <v>0</v>
      </c>
      <c r="AN52" s="1032">
        <v>42383707</v>
      </c>
      <c r="AO52" s="1032">
        <f t="shared" si="6"/>
        <v>30222985</v>
      </c>
      <c r="AP52" s="1032">
        <v>3228942</v>
      </c>
      <c r="AQ52" s="1032">
        <f t="shared" si="6"/>
        <v>2339327</v>
      </c>
      <c r="AR52" s="1032">
        <v>3025510</v>
      </c>
      <c r="AS52" s="1032">
        <f t="shared" si="6"/>
        <v>1615015</v>
      </c>
      <c r="AT52" s="1032">
        <v>17732367</v>
      </c>
      <c r="AU52" s="1248">
        <f t="shared" si="6"/>
        <v>15807814</v>
      </c>
      <c r="AV52" s="1275">
        <f t="shared" si="4"/>
        <v>303418722.2</v>
      </c>
      <c r="AW52" s="1276">
        <f t="shared" si="5"/>
        <v>257438383</v>
      </c>
      <c r="AX52" s="818">
        <v>828532345</v>
      </c>
      <c r="AY52" s="1033">
        <v>797675337</v>
      </c>
      <c r="AZ52" s="813">
        <f t="shared" si="1"/>
        <v>1131951067.2</v>
      </c>
      <c r="BA52" s="813">
        <f t="shared" si="1"/>
        <v>1055113720</v>
      </c>
    </row>
    <row r="53" spans="1:53" ht="18">
      <c r="A53" s="826" t="s">
        <v>502</v>
      </c>
      <c r="B53" s="826">
        <v>3324157</v>
      </c>
      <c r="C53" s="1031">
        <f>C49-C52</f>
        <v>6977139</v>
      </c>
      <c r="D53" s="1032">
        <v>376888</v>
      </c>
      <c r="E53" s="1032">
        <f aca="true" t="shared" si="7" ref="E53:AU53">E49-E52</f>
        <v>469205</v>
      </c>
      <c r="F53" s="1032">
        <v>432319</v>
      </c>
      <c r="G53" s="1032">
        <f t="shared" si="7"/>
        <v>1070392</v>
      </c>
      <c r="H53" s="1032">
        <v>1215253</v>
      </c>
      <c r="I53" s="1032">
        <f t="shared" si="7"/>
        <v>5332775</v>
      </c>
      <c r="J53" s="1032">
        <v>402132</v>
      </c>
      <c r="K53" s="1032">
        <f t="shared" si="7"/>
        <v>3485618</v>
      </c>
      <c r="L53" s="1032">
        <v>-1061979</v>
      </c>
      <c r="M53" s="1032">
        <f t="shared" si="7"/>
        <v>1307182</v>
      </c>
      <c r="N53" s="1032">
        <v>406421</v>
      </c>
      <c r="O53" s="1032">
        <f t="shared" si="7"/>
        <v>722732</v>
      </c>
      <c r="P53" s="1032">
        <v>1134659</v>
      </c>
      <c r="Q53" s="1032">
        <f t="shared" si="7"/>
        <v>1529313</v>
      </c>
      <c r="R53" s="1032">
        <v>2930617</v>
      </c>
      <c r="S53" s="1032">
        <f t="shared" si="7"/>
        <v>3857261</v>
      </c>
      <c r="T53" s="1032">
        <f t="shared" si="7"/>
        <v>853663</v>
      </c>
      <c r="U53" s="1032">
        <f t="shared" si="7"/>
        <v>546064</v>
      </c>
      <c r="V53" s="1032">
        <v>-15378132</v>
      </c>
      <c r="W53" s="1032">
        <f t="shared" si="7"/>
        <v>-6698931</v>
      </c>
      <c r="X53" s="1032">
        <v>1667200</v>
      </c>
      <c r="Y53" s="1032">
        <f t="shared" si="7"/>
        <v>5073511</v>
      </c>
      <c r="Z53" s="1032">
        <v>4266599</v>
      </c>
      <c r="AA53" s="1032">
        <f t="shared" si="7"/>
        <v>4036621</v>
      </c>
      <c r="AB53" s="1032">
        <v>1929180.18</v>
      </c>
      <c r="AC53" s="1032">
        <f t="shared" si="7"/>
        <v>2563080</v>
      </c>
      <c r="AD53" s="1032">
        <v>-3835523</v>
      </c>
      <c r="AE53" s="1032">
        <f t="shared" si="7"/>
        <v>-1532312</v>
      </c>
      <c r="AF53" s="1032">
        <v>626408</v>
      </c>
      <c r="AG53" s="1032">
        <f t="shared" si="7"/>
        <v>6289726</v>
      </c>
      <c r="AH53" s="1032"/>
      <c r="AI53" s="1032">
        <f t="shared" si="7"/>
        <v>2325335</v>
      </c>
      <c r="AJ53" s="1032">
        <v>2858430</v>
      </c>
      <c r="AK53" s="1032">
        <f t="shared" si="7"/>
        <v>3851181</v>
      </c>
      <c r="AL53" s="1032"/>
      <c r="AM53" s="1032">
        <f t="shared" si="7"/>
        <v>0</v>
      </c>
      <c r="AN53" s="1032">
        <v>29123932</v>
      </c>
      <c r="AO53" s="1032">
        <f t="shared" si="7"/>
        <v>27990120</v>
      </c>
      <c r="AP53" s="1032">
        <v>2422184</v>
      </c>
      <c r="AQ53" s="1032">
        <v>2394763</v>
      </c>
      <c r="AR53" s="1032">
        <v>3927674</v>
      </c>
      <c r="AS53" s="1032">
        <f t="shared" si="7"/>
        <v>3745274</v>
      </c>
      <c r="AT53" s="1032">
        <v>4019277</v>
      </c>
      <c r="AU53" s="1248">
        <f t="shared" si="7"/>
        <v>-1464843</v>
      </c>
      <c r="AV53" s="1275">
        <f t="shared" si="4"/>
        <v>41641359.18</v>
      </c>
      <c r="AW53" s="1276">
        <f t="shared" si="5"/>
        <v>73871206</v>
      </c>
      <c r="AX53" s="818">
        <v>963477950</v>
      </c>
      <c r="AY53" s="1033">
        <v>923976838</v>
      </c>
      <c r="AZ53" s="813">
        <f t="shared" si="1"/>
        <v>1005119309.18</v>
      </c>
      <c r="BA53" s="813">
        <f t="shared" si="1"/>
        <v>997848044</v>
      </c>
    </row>
    <row r="54" spans="1:53" ht="16.5">
      <c r="A54" s="107" t="s">
        <v>503</v>
      </c>
      <c r="B54" s="107"/>
      <c r="C54" s="1030"/>
      <c r="D54" s="819"/>
      <c r="E54" s="812"/>
      <c r="F54" s="812"/>
      <c r="G54" s="812"/>
      <c r="H54" s="812"/>
      <c r="I54" s="812"/>
      <c r="J54" s="812"/>
      <c r="K54" s="812"/>
      <c r="L54" s="812"/>
      <c r="M54" s="812"/>
      <c r="N54" s="812"/>
      <c r="O54" s="812"/>
      <c r="P54" s="812"/>
      <c r="Q54" s="812"/>
      <c r="R54" s="812"/>
      <c r="S54" s="812"/>
      <c r="T54" s="812"/>
      <c r="U54" s="812"/>
      <c r="V54" s="812"/>
      <c r="W54" s="812"/>
      <c r="X54" s="812"/>
      <c r="Y54" s="812"/>
      <c r="Z54" s="812"/>
      <c r="AA54" s="812"/>
      <c r="AB54" s="812"/>
      <c r="AC54" s="812"/>
      <c r="AD54" s="812"/>
      <c r="AE54" s="812"/>
      <c r="AF54" s="812"/>
      <c r="AG54" s="812"/>
      <c r="AH54" s="812"/>
      <c r="AI54" s="812"/>
      <c r="AJ54" s="812"/>
      <c r="AK54" s="812"/>
      <c r="AL54" s="812"/>
      <c r="AM54" s="812"/>
      <c r="AN54" s="812"/>
      <c r="AO54" s="812"/>
      <c r="AP54" s="812"/>
      <c r="AQ54" s="812"/>
      <c r="AR54" s="812"/>
      <c r="AS54" s="812"/>
      <c r="AT54" s="812"/>
      <c r="AU54" s="818"/>
      <c r="AV54" s="1275">
        <f t="shared" si="4"/>
        <v>0</v>
      </c>
      <c r="AW54" s="1276">
        <f t="shared" si="5"/>
        <v>0</v>
      </c>
      <c r="AX54" s="818"/>
      <c r="AY54" s="813"/>
      <c r="AZ54" s="813">
        <f t="shared" si="1"/>
        <v>0</v>
      </c>
      <c r="BA54" s="813">
        <f t="shared" si="1"/>
        <v>0</v>
      </c>
    </row>
    <row r="55" spans="1:53" ht="16.5">
      <c r="A55" s="107" t="s">
        <v>504</v>
      </c>
      <c r="B55" s="107"/>
      <c r="C55" s="1030"/>
      <c r="D55" s="819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2"/>
      <c r="T55" s="812"/>
      <c r="U55" s="812"/>
      <c r="V55" s="812"/>
      <c r="W55" s="812"/>
      <c r="X55" s="812"/>
      <c r="Y55" s="812"/>
      <c r="Z55" s="812"/>
      <c r="AA55" s="812"/>
      <c r="AB55" s="812"/>
      <c r="AC55" s="812"/>
      <c r="AD55" s="812"/>
      <c r="AE55" s="812"/>
      <c r="AF55" s="812"/>
      <c r="AG55" s="812"/>
      <c r="AH55" s="812"/>
      <c r="AI55" s="812"/>
      <c r="AJ55" s="812"/>
      <c r="AK55" s="812"/>
      <c r="AL55" s="812"/>
      <c r="AM55" s="812"/>
      <c r="AN55" s="812"/>
      <c r="AO55" s="812"/>
      <c r="AP55" s="812"/>
      <c r="AQ55" s="812"/>
      <c r="AR55" s="812"/>
      <c r="AS55" s="812"/>
      <c r="AT55" s="812"/>
      <c r="AU55" s="818"/>
      <c r="AV55" s="1275">
        <f t="shared" si="4"/>
        <v>0</v>
      </c>
      <c r="AW55" s="1276">
        <f t="shared" si="5"/>
        <v>0</v>
      </c>
      <c r="AX55" s="818"/>
      <c r="AY55" s="813"/>
      <c r="AZ55" s="813">
        <f t="shared" si="1"/>
        <v>0</v>
      </c>
      <c r="BA55" s="813">
        <f t="shared" si="1"/>
        <v>0</v>
      </c>
    </row>
    <row r="56" spans="1:53" ht="16.5">
      <c r="A56" s="107" t="s">
        <v>505</v>
      </c>
      <c r="B56" s="107"/>
      <c r="C56" s="1030"/>
      <c r="D56" s="819">
        <v>7041120</v>
      </c>
      <c r="E56" s="812">
        <v>6155209</v>
      </c>
      <c r="F56" s="812">
        <v>13894097</v>
      </c>
      <c r="G56" s="812">
        <v>13466673</v>
      </c>
      <c r="H56" s="812"/>
      <c r="I56" s="812"/>
      <c r="J56" s="812">
        <v>28614998</v>
      </c>
      <c r="K56" s="812">
        <v>27075518</v>
      </c>
      <c r="L56" s="812"/>
      <c r="M56" s="812"/>
      <c r="N56" s="812">
        <v>2045080</v>
      </c>
      <c r="O56" s="812">
        <v>2973027</v>
      </c>
      <c r="P56" s="812">
        <v>16289896</v>
      </c>
      <c r="Q56" s="812">
        <v>13932979</v>
      </c>
      <c r="R56" s="812">
        <v>6429718</v>
      </c>
      <c r="S56" s="812">
        <v>6975923</v>
      </c>
      <c r="T56" s="812">
        <v>19771745</v>
      </c>
      <c r="U56" s="812">
        <v>18188487</v>
      </c>
      <c r="V56" s="812"/>
      <c r="W56" s="812"/>
      <c r="X56" s="812"/>
      <c r="Y56" s="812"/>
      <c r="Z56" s="812"/>
      <c r="AA56" s="812"/>
      <c r="AB56" s="812">
        <v>1690939.98</v>
      </c>
      <c r="AC56" s="812">
        <v>1992844</v>
      </c>
      <c r="AD56" s="812"/>
      <c r="AE56" s="812"/>
      <c r="AF56" s="812"/>
      <c r="AG56" s="812"/>
      <c r="AH56" s="812"/>
      <c r="AI56" s="812">
        <v>7017637</v>
      </c>
      <c r="AJ56" s="812">
        <v>1470673</v>
      </c>
      <c r="AK56" s="812">
        <v>1973481</v>
      </c>
      <c r="AL56" s="812"/>
      <c r="AM56" s="812"/>
      <c r="AN56" s="812"/>
      <c r="AO56" s="812"/>
      <c r="AP56" s="812"/>
      <c r="AQ56" s="812"/>
      <c r="AR56" s="812"/>
      <c r="AS56" s="812"/>
      <c r="AT56" s="812"/>
      <c r="AU56" s="818"/>
      <c r="AV56" s="1275">
        <f t="shared" si="4"/>
        <v>97248266.98</v>
      </c>
      <c r="AW56" s="1276">
        <f t="shared" si="5"/>
        <v>99751778</v>
      </c>
      <c r="AX56" s="818"/>
      <c r="AY56" s="813"/>
      <c r="AZ56" s="813">
        <f t="shared" si="1"/>
        <v>97248266.98</v>
      </c>
      <c r="BA56" s="813">
        <f t="shared" si="1"/>
        <v>99751778</v>
      </c>
    </row>
    <row r="57" spans="1:53" ht="16.5">
      <c r="A57" s="107" t="s">
        <v>506</v>
      </c>
      <c r="B57" s="107"/>
      <c r="C57" s="1030"/>
      <c r="D57" s="819">
        <v>14502739</v>
      </c>
      <c r="E57" s="812">
        <v>13782964</v>
      </c>
      <c r="F57" s="812"/>
      <c r="G57" s="812"/>
      <c r="H57" s="812"/>
      <c r="I57" s="812"/>
      <c r="J57" s="812"/>
      <c r="K57" s="812"/>
      <c r="L57" s="812"/>
      <c r="M57" s="812"/>
      <c r="N57" s="812"/>
      <c r="O57" s="812"/>
      <c r="P57" s="812"/>
      <c r="Q57" s="812"/>
      <c r="R57" s="812"/>
      <c r="S57" s="812"/>
      <c r="T57" s="812"/>
      <c r="U57" s="812"/>
      <c r="V57" s="812"/>
      <c r="W57" s="812"/>
      <c r="X57" s="812"/>
      <c r="Y57" s="812"/>
      <c r="Z57" s="812"/>
      <c r="AA57" s="812"/>
      <c r="AB57" s="812"/>
      <c r="AC57" s="812"/>
      <c r="AD57" s="812"/>
      <c r="AE57" s="812"/>
      <c r="AF57" s="812"/>
      <c r="AG57" s="812"/>
      <c r="AH57" s="812"/>
      <c r="AI57" s="812"/>
      <c r="AJ57" s="812"/>
      <c r="AK57" s="812"/>
      <c r="AL57" s="812"/>
      <c r="AM57" s="812"/>
      <c r="AN57" s="812"/>
      <c r="AO57" s="812"/>
      <c r="AP57" s="812"/>
      <c r="AQ57" s="812"/>
      <c r="AR57" s="812"/>
      <c r="AS57" s="812"/>
      <c r="AT57" s="812"/>
      <c r="AU57" s="818"/>
      <c r="AV57" s="1275">
        <f t="shared" si="4"/>
        <v>14502739</v>
      </c>
      <c r="AW57" s="1276">
        <f t="shared" si="5"/>
        <v>13782964</v>
      </c>
      <c r="AX57" s="818"/>
      <c r="AY57" s="813"/>
      <c r="AZ57" s="813">
        <f t="shared" si="1"/>
        <v>14502739</v>
      </c>
      <c r="BA57" s="813">
        <f t="shared" si="1"/>
        <v>13782964</v>
      </c>
    </row>
    <row r="58" spans="1:53" s="1460" customFormat="1" ht="18">
      <c r="A58" s="826" t="s">
        <v>485</v>
      </c>
      <c r="B58" s="826">
        <v>532595053</v>
      </c>
      <c r="C58" s="1453">
        <v>420861173</v>
      </c>
      <c r="D58" s="1454">
        <v>54631358</v>
      </c>
      <c r="E58" s="1455">
        <v>47425937</v>
      </c>
      <c r="F58" s="1455">
        <v>122095456</v>
      </c>
      <c r="G58" s="1455">
        <v>105589895</v>
      </c>
      <c r="H58" s="1455">
        <v>744304869</v>
      </c>
      <c r="I58" s="1455">
        <v>570205000</v>
      </c>
      <c r="J58" s="1455">
        <v>123223055</v>
      </c>
      <c r="K58" s="1455">
        <v>99987803</v>
      </c>
      <c r="L58" s="1455">
        <v>218124957</v>
      </c>
      <c r="M58" s="1455">
        <v>155415252</v>
      </c>
      <c r="N58" s="1455">
        <v>59551077</v>
      </c>
      <c r="O58" s="1455">
        <v>52963138</v>
      </c>
      <c r="P58" s="1455">
        <v>60682795</v>
      </c>
      <c r="Q58" s="1455">
        <v>47463828</v>
      </c>
      <c r="R58" s="1455">
        <v>191239507</v>
      </c>
      <c r="S58" s="1455">
        <v>166117998</v>
      </c>
      <c r="T58" s="1455">
        <v>73106188</v>
      </c>
      <c r="U58" s="1455">
        <v>63086134</v>
      </c>
      <c r="V58" s="1455">
        <v>1730658275</v>
      </c>
      <c r="W58" s="1455">
        <v>1271854488</v>
      </c>
      <c r="X58" s="1455">
        <v>2134893044</v>
      </c>
      <c r="Y58" s="1455">
        <v>1526987138</v>
      </c>
      <c r="Z58" s="1455">
        <v>122764504</v>
      </c>
      <c r="AA58" s="1455">
        <v>99799532</v>
      </c>
      <c r="AB58" s="1455">
        <v>1690939.98</v>
      </c>
      <c r="AC58" s="1455">
        <v>149437781</v>
      </c>
      <c r="AD58" s="1455">
        <v>462189653</v>
      </c>
      <c r="AE58" s="1455">
        <v>348451443</v>
      </c>
      <c r="AF58" s="1455">
        <v>912228319</v>
      </c>
      <c r="AG58" s="1455">
        <v>697448131</v>
      </c>
      <c r="AH58" s="1455"/>
      <c r="AI58" s="1455">
        <v>234982042</v>
      </c>
      <c r="AJ58" s="1455">
        <v>249391426</v>
      </c>
      <c r="AK58" s="1455">
        <v>205222192</v>
      </c>
      <c r="AL58" s="1455"/>
      <c r="AM58" s="1455"/>
      <c r="AN58" s="1455">
        <v>2225920678</v>
      </c>
      <c r="AO58" s="1455">
        <v>1625578887</v>
      </c>
      <c r="AP58" s="1455">
        <v>66317381</v>
      </c>
      <c r="AQ58" s="1455">
        <v>51521446</v>
      </c>
      <c r="AR58" s="1455">
        <v>121249995</v>
      </c>
      <c r="AS58" s="1455">
        <v>95257727</v>
      </c>
      <c r="AT58" s="1455">
        <v>473435386</v>
      </c>
      <c r="AU58" s="1456">
        <v>319192270</v>
      </c>
      <c r="AV58" s="1458">
        <f t="shared" si="4"/>
        <v>10680293915.98</v>
      </c>
      <c r="AW58" s="1459">
        <f t="shared" si="5"/>
        <v>8354849235</v>
      </c>
      <c r="AX58" s="1456">
        <v>37289024440</v>
      </c>
      <c r="AY58" s="1457">
        <v>31237324814</v>
      </c>
      <c r="AZ58" s="1457">
        <f t="shared" si="1"/>
        <v>47969318355.979996</v>
      </c>
      <c r="BA58" s="1457">
        <f t="shared" si="1"/>
        <v>39592174049</v>
      </c>
    </row>
    <row r="59" spans="1:53" ht="16.5">
      <c r="A59" s="134" t="s">
        <v>507</v>
      </c>
      <c r="B59" s="134"/>
      <c r="C59" s="813"/>
      <c r="D59" s="812"/>
      <c r="E59" s="812"/>
      <c r="F59" s="812"/>
      <c r="G59" s="812"/>
      <c r="H59" s="812"/>
      <c r="I59" s="812"/>
      <c r="J59" s="812"/>
      <c r="K59" s="812"/>
      <c r="L59" s="812"/>
      <c r="M59" s="812"/>
      <c r="N59" s="812"/>
      <c r="O59" s="812"/>
      <c r="P59" s="812"/>
      <c r="Q59" s="812"/>
      <c r="R59" s="812"/>
      <c r="S59" s="812"/>
      <c r="T59" s="812"/>
      <c r="U59" s="812"/>
      <c r="V59" s="812"/>
      <c r="W59" s="812"/>
      <c r="X59" s="812"/>
      <c r="Y59" s="812"/>
      <c r="Z59" s="812"/>
      <c r="AA59" s="812"/>
      <c r="AB59" s="812"/>
      <c r="AC59" s="812"/>
      <c r="AD59" s="812"/>
      <c r="AE59" s="812"/>
      <c r="AF59" s="812"/>
      <c r="AG59" s="812"/>
      <c r="AH59" s="812"/>
      <c r="AI59" s="812"/>
      <c r="AJ59" s="812"/>
      <c r="AK59" s="812"/>
      <c r="AL59" s="812"/>
      <c r="AM59" s="812"/>
      <c r="AN59" s="812"/>
      <c r="AO59" s="812"/>
      <c r="AP59" s="812"/>
      <c r="AQ59" s="812"/>
      <c r="AR59" s="812"/>
      <c r="AS59" s="812"/>
      <c r="AT59" s="812"/>
      <c r="AU59" s="818"/>
      <c r="AV59" s="1275">
        <f t="shared" si="4"/>
        <v>0</v>
      </c>
      <c r="AW59" s="1276">
        <f t="shared" si="5"/>
        <v>0</v>
      </c>
      <c r="AX59" s="818"/>
      <c r="AY59" s="813"/>
      <c r="AZ59" s="813">
        <f t="shared" si="1"/>
        <v>0</v>
      </c>
      <c r="BA59" s="813">
        <f t="shared" si="1"/>
        <v>0</v>
      </c>
    </row>
    <row r="60" spans="1:53" ht="16.5">
      <c r="A60" s="134" t="s">
        <v>0</v>
      </c>
      <c r="B60" s="134"/>
      <c r="C60" s="813"/>
      <c r="D60" s="812"/>
      <c r="E60" s="812"/>
      <c r="F60" s="812"/>
      <c r="G60" s="812"/>
      <c r="H60" s="812"/>
      <c r="I60" s="812"/>
      <c r="J60" s="812"/>
      <c r="K60" s="812"/>
      <c r="L60" s="812"/>
      <c r="M60" s="812"/>
      <c r="N60" s="812"/>
      <c r="O60" s="812"/>
      <c r="P60" s="812"/>
      <c r="Q60" s="812"/>
      <c r="R60" s="812"/>
      <c r="S60" s="812"/>
      <c r="T60" s="812"/>
      <c r="U60" s="812"/>
      <c r="V60" s="812"/>
      <c r="W60" s="812"/>
      <c r="X60" s="812"/>
      <c r="Y60" s="812"/>
      <c r="Z60" s="812"/>
      <c r="AA60" s="812"/>
      <c r="AB60" s="812"/>
      <c r="AC60" s="812"/>
      <c r="AD60" s="812"/>
      <c r="AE60" s="812"/>
      <c r="AF60" s="812"/>
      <c r="AG60" s="812"/>
      <c r="AH60" s="812"/>
      <c r="AI60" s="812"/>
      <c r="AJ60" s="812"/>
      <c r="AK60" s="812"/>
      <c r="AL60" s="812"/>
      <c r="AM60" s="812"/>
      <c r="AN60" s="812"/>
      <c r="AO60" s="812"/>
      <c r="AP60" s="812"/>
      <c r="AQ60" s="812"/>
      <c r="AR60" s="812"/>
      <c r="AS60" s="812"/>
      <c r="AT60" s="812"/>
      <c r="AU60" s="818"/>
      <c r="AV60" s="1275">
        <f t="shared" si="4"/>
        <v>0</v>
      </c>
      <c r="AW60" s="1276">
        <f t="shared" si="5"/>
        <v>0</v>
      </c>
      <c r="AX60" s="818"/>
      <c r="AY60" s="813"/>
      <c r="AZ60" s="813">
        <f t="shared" si="1"/>
        <v>0</v>
      </c>
      <c r="BA60" s="813">
        <f t="shared" si="1"/>
        <v>0</v>
      </c>
    </row>
    <row r="61" spans="1:53" ht="16.5">
      <c r="A61" s="107" t="s">
        <v>508</v>
      </c>
      <c r="B61" s="107">
        <v>4476107</v>
      </c>
      <c r="C61" s="813">
        <v>6686653</v>
      </c>
      <c r="D61" s="812"/>
      <c r="E61" s="812"/>
      <c r="F61" s="812">
        <v>317171</v>
      </c>
      <c r="G61" s="812"/>
      <c r="H61" s="812"/>
      <c r="I61" s="812"/>
      <c r="J61" s="812"/>
      <c r="K61" s="812"/>
      <c r="L61" s="812"/>
      <c r="M61" s="812"/>
      <c r="N61" s="812">
        <v>15408</v>
      </c>
      <c r="O61" s="812">
        <v>949</v>
      </c>
      <c r="P61" s="812"/>
      <c r="Q61" s="812"/>
      <c r="R61" s="812">
        <v>302464</v>
      </c>
      <c r="S61" s="812">
        <v>400000</v>
      </c>
      <c r="T61" s="812"/>
      <c r="U61" s="812"/>
      <c r="V61" s="812">
        <v>17468292</v>
      </c>
      <c r="W61" s="812">
        <v>20573536</v>
      </c>
      <c r="X61" s="812">
        <v>10612933</v>
      </c>
      <c r="Y61" s="812">
        <v>4500000</v>
      </c>
      <c r="Z61" s="812"/>
      <c r="AA61" s="812"/>
      <c r="AB61" s="812">
        <v>118860.22</v>
      </c>
      <c r="AC61" s="812"/>
      <c r="AD61" s="812">
        <v>2277118</v>
      </c>
      <c r="AE61" s="812">
        <v>3117923</v>
      </c>
      <c r="AF61" s="812"/>
      <c r="AG61" s="812"/>
      <c r="AH61" s="812"/>
      <c r="AI61" s="812">
        <v>4550000</v>
      </c>
      <c r="AJ61" s="812">
        <v>619728</v>
      </c>
      <c r="AK61" s="812">
        <v>310248</v>
      </c>
      <c r="AL61" s="812"/>
      <c r="AM61" s="812"/>
      <c r="AN61" s="812">
        <v>10900000</v>
      </c>
      <c r="AO61" s="812">
        <v>8600000</v>
      </c>
      <c r="AP61" s="812"/>
      <c r="AQ61" s="812"/>
      <c r="AR61" s="812"/>
      <c r="AS61" s="812"/>
      <c r="AT61" s="812"/>
      <c r="AU61" s="818"/>
      <c r="AV61" s="1275">
        <f t="shared" si="4"/>
        <v>47108081.22</v>
      </c>
      <c r="AW61" s="1276">
        <f t="shared" si="5"/>
        <v>48739309</v>
      </c>
      <c r="AX61" s="818"/>
      <c r="AY61" s="813"/>
      <c r="AZ61" s="813">
        <f t="shared" si="1"/>
        <v>47108081.22</v>
      </c>
      <c r="BA61" s="813">
        <f t="shared" si="1"/>
        <v>48739309</v>
      </c>
    </row>
    <row r="62" spans="1:53" ht="16.5">
      <c r="A62" s="107" t="s">
        <v>509</v>
      </c>
      <c r="B62" s="107">
        <v>22167</v>
      </c>
      <c r="C62" s="813">
        <v>21967</v>
      </c>
      <c r="D62" s="812"/>
      <c r="E62" s="812"/>
      <c r="F62" s="812">
        <v>10897</v>
      </c>
      <c r="G62" s="812">
        <v>12841</v>
      </c>
      <c r="H62" s="812"/>
      <c r="I62" s="812"/>
      <c r="J62" s="812"/>
      <c r="K62" s="812"/>
      <c r="L62" s="812">
        <v>227</v>
      </c>
      <c r="M62" s="812">
        <v>160</v>
      </c>
      <c r="N62" s="812">
        <v>4001</v>
      </c>
      <c r="O62" s="812">
        <v>4010</v>
      </c>
      <c r="P62" s="812"/>
      <c r="Q62" s="812"/>
      <c r="R62" s="812"/>
      <c r="S62" s="812"/>
      <c r="T62" s="812"/>
      <c r="U62" s="812"/>
      <c r="V62" s="812">
        <v>53</v>
      </c>
      <c r="W62" s="812">
        <v>4123</v>
      </c>
      <c r="X62" s="812">
        <f>1176+41354+8523</f>
        <v>51053</v>
      </c>
      <c r="Y62" s="812">
        <f>1176+41354+9023</f>
        <v>51553</v>
      </c>
      <c r="Z62" s="812"/>
      <c r="AA62" s="812"/>
      <c r="AB62" s="812"/>
      <c r="AC62" s="812"/>
      <c r="AD62" s="812">
        <v>4113</v>
      </c>
      <c r="AE62" s="812">
        <v>4113</v>
      </c>
      <c r="AF62" s="812"/>
      <c r="AG62" s="812"/>
      <c r="AH62" s="812"/>
      <c r="AI62" s="812">
        <v>67693</v>
      </c>
      <c r="AJ62" s="812">
        <v>10397</v>
      </c>
      <c r="AK62" s="812">
        <v>9906</v>
      </c>
      <c r="AL62" s="812"/>
      <c r="AM62" s="812"/>
      <c r="AN62" s="812">
        <v>9956</v>
      </c>
      <c r="AO62" s="812">
        <v>5601</v>
      </c>
      <c r="AP62" s="812"/>
      <c r="AQ62" s="812"/>
      <c r="AR62" s="812">
        <v>7475</v>
      </c>
      <c r="AS62" s="812">
        <v>7400</v>
      </c>
      <c r="AT62" s="812">
        <v>13781</v>
      </c>
      <c r="AU62" s="818">
        <v>14450</v>
      </c>
      <c r="AV62" s="1275">
        <f t="shared" si="4"/>
        <v>134120</v>
      </c>
      <c r="AW62" s="1276">
        <f t="shared" si="5"/>
        <v>203817</v>
      </c>
      <c r="AX62" s="818"/>
      <c r="AY62" s="813"/>
      <c r="AZ62" s="813">
        <f t="shared" si="1"/>
        <v>134120</v>
      </c>
      <c r="BA62" s="813">
        <f t="shared" si="1"/>
        <v>203817</v>
      </c>
    </row>
    <row r="63" spans="1:53" ht="16.5">
      <c r="A63" s="107" t="s">
        <v>510</v>
      </c>
      <c r="B63" s="107"/>
      <c r="C63" s="813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>
        <v>12493</v>
      </c>
      <c r="U63" s="812">
        <v>12492</v>
      </c>
      <c r="V63" s="812"/>
      <c r="W63" s="812"/>
      <c r="X63" s="812"/>
      <c r="Y63" s="812"/>
      <c r="Z63" s="812"/>
      <c r="AA63" s="812"/>
      <c r="AB63" s="812"/>
      <c r="AC63" s="812"/>
      <c r="AD63" s="812"/>
      <c r="AE63" s="812"/>
      <c r="AF63" s="812"/>
      <c r="AG63" s="812"/>
      <c r="AH63" s="812"/>
      <c r="AI63" s="812"/>
      <c r="AJ63" s="812"/>
      <c r="AK63" s="812"/>
      <c r="AL63" s="812"/>
      <c r="AM63" s="812"/>
      <c r="AN63" s="812"/>
      <c r="AO63" s="812"/>
      <c r="AP63" s="812"/>
      <c r="AQ63" s="812"/>
      <c r="AR63" s="812"/>
      <c r="AS63" s="812"/>
      <c r="AT63" s="812"/>
      <c r="AU63" s="818"/>
      <c r="AV63" s="1275">
        <f t="shared" si="4"/>
        <v>12493</v>
      </c>
      <c r="AW63" s="1276">
        <f t="shared" si="5"/>
        <v>12492</v>
      </c>
      <c r="AX63" s="818"/>
      <c r="AY63" s="813"/>
      <c r="AZ63" s="813">
        <f t="shared" si="1"/>
        <v>12493</v>
      </c>
      <c r="BA63" s="813">
        <f t="shared" si="1"/>
        <v>12492</v>
      </c>
    </row>
    <row r="64" spans="1:53" ht="16.5">
      <c r="A64" s="107" t="s">
        <v>511</v>
      </c>
      <c r="B64" s="107">
        <v>2500</v>
      </c>
      <c r="C64" s="813">
        <v>2500</v>
      </c>
      <c r="D64" s="812">
        <v>2500</v>
      </c>
      <c r="E64" s="812">
        <v>2500</v>
      </c>
      <c r="F64" s="812"/>
      <c r="G64" s="812"/>
      <c r="H64" s="812">
        <v>4068</v>
      </c>
      <c r="I64" s="812"/>
      <c r="J64" s="812"/>
      <c r="K64" s="812"/>
      <c r="L64" s="812">
        <v>5050</v>
      </c>
      <c r="M64" s="812">
        <v>2550</v>
      </c>
      <c r="N64" s="812"/>
      <c r="O64" s="812"/>
      <c r="P64" s="812"/>
      <c r="Q64" s="812"/>
      <c r="R64" s="812"/>
      <c r="S64" s="812"/>
      <c r="T64" s="812"/>
      <c r="U64" s="812"/>
      <c r="V64" s="812">
        <v>3497</v>
      </c>
      <c r="W64" s="812">
        <v>3522</v>
      </c>
      <c r="X64" s="812"/>
      <c r="Y64" s="812"/>
      <c r="Z64" s="812">
        <v>2500</v>
      </c>
      <c r="AA64" s="812"/>
      <c r="AB64" s="812"/>
      <c r="AC64" s="812"/>
      <c r="AD64" s="812">
        <v>4504</v>
      </c>
      <c r="AE64" s="812">
        <v>4504</v>
      </c>
      <c r="AF64" s="812"/>
      <c r="AG64" s="812"/>
      <c r="AH64" s="812"/>
      <c r="AI64" s="812">
        <v>2500</v>
      </c>
      <c r="AJ64" s="812">
        <v>1091</v>
      </c>
      <c r="AK64" s="812">
        <v>1102</v>
      </c>
      <c r="AL64" s="812"/>
      <c r="AM64" s="812"/>
      <c r="AN64" s="812"/>
      <c r="AO64" s="812"/>
      <c r="AP64" s="812"/>
      <c r="AQ64" s="812"/>
      <c r="AR64" s="812"/>
      <c r="AS64" s="812"/>
      <c r="AT64" s="812"/>
      <c r="AU64" s="818"/>
      <c r="AV64" s="1275">
        <f t="shared" si="4"/>
        <v>25710</v>
      </c>
      <c r="AW64" s="1276">
        <f t="shared" si="5"/>
        <v>19178</v>
      </c>
      <c r="AX64" s="818"/>
      <c r="AY64" s="813"/>
      <c r="AZ64" s="813">
        <f t="shared" si="1"/>
        <v>25710</v>
      </c>
      <c r="BA64" s="813">
        <f t="shared" si="1"/>
        <v>19178</v>
      </c>
    </row>
    <row r="65" spans="1:53" ht="16.5">
      <c r="A65" s="107" t="s">
        <v>512</v>
      </c>
      <c r="B65" s="107"/>
      <c r="C65" s="813"/>
      <c r="D65" s="812">
        <v>82052</v>
      </c>
      <c r="E65" s="812">
        <v>82052</v>
      </c>
      <c r="F65" s="812"/>
      <c r="G65" s="812"/>
      <c r="H65" s="812"/>
      <c r="I65" s="812"/>
      <c r="J65" s="812"/>
      <c r="K65" s="812"/>
      <c r="L65" s="812">
        <v>1513100</v>
      </c>
      <c r="M65" s="812">
        <v>1434919</v>
      </c>
      <c r="N65" s="812">
        <v>183794</v>
      </c>
      <c r="O65" s="812">
        <v>132678</v>
      </c>
      <c r="P65" s="812"/>
      <c r="Q65" s="812">
        <v>35407</v>
      </c>
      <c r="R65" s="812">
        <v>2535645</v>
      </c>
      <c r="S65" s="812">
        <v>2535645</v>
      </c>
      <c r="T65" s="812">
        <v>45779</v>
      </c>
      <c r="U65" s="812">
        <v>42355</v>
      </c>
      <c r="V65" s="812">
        <v>662157</v>
      </c>
      <c r="W65" s="812">
        <v>909593</v>
      </c>
      <c r="X65" s="812">
        <v>1536996</v>
      </c>
      <c r="Y65" s="812">
        <v>1536996</v>
      </c>
      <c r="Z65" s="812">
        <v>488973</v>
      </c>
      <c r="AA65" s="812">
        <v>510602</v>
      </c>
      <c r="AB65" s="812">
        <v>492487.77</v>
      </c>
      <c r="AC65" s="812">
        <v>280802</v>
      </c>
      <c r="AD65" s="812">
        <v>2227700</v>
      </c>
      <c r="AE65" s="812">
        <v>2121524</v>
      </c>
      <c r="AF65" s="812"/>
      <c r="AG65" s="812"/>
      <c r="AH65" s="812"/>
      <c r="AI65" s="812">
        <v>150627</v>
      </c>
      <c r="AJ65" s="812">
        <v>1611323</v>
      </c>
      <c r="AK65" s="812">
        <v>1611323</v>
      </c>
      <c r="AL65" s="812"/>
      <c r="AM65" s="812"/>
      <c r="AN65" s="812"/>
      <c r="AO65" s="812"/>
      <c r="AP65" s="812"/>
      <c r="AQ65" s="812"/>
      <c r="AR65" s="812">
        <v>853528</v>
      </c>
      <c r="AS65" s="812">
        <v>635644</v>
      </c>
      <c r="AT65" s="812">
        <v>8560</v>
      </c>
      <c r="AU65" s="818">
        <v>8560</v>
      </c>
      <c r="AV65" s="1275">
        <f t="shared" si="4"/>
        <v>12242094.77</v>
      </c>
      <c r="AW65" s="1276">
        <f t="shared" si="5"/>
        <v>12028727</v>
      </c>
      <c r="AX65" s="818"/>
      <c r="AY65" s="813"/>
      <c r="AZ65" s="813">
        <f t="shared" si="1"/>
        <v>12242094.77</v>
      </c>
      <c r="BA65" s="813">
        <f t="shared" si="1"/>
        <v>12028727</v>
      </c>
    </row>
    <row r="66" spans="1:53" ht="16.5">
      <c r="A66" s="107" t="s">
        <v>513</v>
      </c>
      <c r="B66" s="107"/>
      <c r="C66" s="813"/>
      <c r="D66" s="812"/>
      <c r="E66" s="812"/>
      <c r="F66" s="812"/>
      <c r="G66" s="812"/>
      <c r="H66" s="812"/>
      <c r="I66" s="812"/>
      <c r="J66" s="812"/>
      <c r="K66" s="812"/>
      <c r="L66" s="812"/>
      <c r="M66" s="812"/>
      <c r="N66" s="812"/>
      <c r="O66" s="812"/>
      <c r="P66" s="812"/>
      <c r="Q66" s="812"/>
      <c r="R66" s="812"/>
      <c r="S66" s="812"/>
      <c r="T66" s="812"/>
      <c r="U66" s="812"/>
      <c r="V66" s="812"/>
      <c r="W66" s="812"/>
      <c r="X66" s="812"/>
      <c r="Y66" s="812"/>
      <c r="Z66" s="812"/>
      <c r="AA66" s="812"/>
      <c r="AB66" s="812"/>
      <c r="AC66" s="812"/>
      <c r="AD66" s="812"/>
      <c r="AE66" s="812"/>
      <c r="AF66" s="812"/>
      <c r="AG66" s="812"/>
      <c r="AH66" s="812"/>
      <c r="AI66" s="812"/>
      <c r="AJ66" s="812"/>
      <c r="AK66" s="812"/>
      <c r="AL66" s="812"/>
      <c r="AM66" s="812"/>
      <c r="AN66" s="812"/>
      <c r="AO66" s="812"/>
      <c r="AP66" s="812"/>
      <c r="AQ66" s="812"/>
      <c r="AR66" s="812"/>
      <c r="AS66" s="812"/>
      <c r="AT66" s="812"/>
      <c r="AU66" s="818"/>
      <c r="AV66" s="1275">
        <f t="shared" si="4"/>
        <v>0</v>
      </c>
      <c r="AW66" s="1276">
        <f t="shared" si="5"/>
        <v>0</v>
      </c>
      <c r="AX66" s="818"/>
      <c r="AY66" s="813"/>
      <c r="AZ66" s="813">
        <f t="shared" si="1"/>
        <v>0</v>
      </c>
      <c r="BA66" s="813">
        <f t="shared" si="1"/>
        <v>0</v>
      </c>
    </row>
    <row r="67" spans="1:53" ht="16.5">
      <c r="A67" s="107" t="s">
        <v>514</v>
      </c>
      <c r="B67" s="107"/>
      <c r="C67" s="813"/>
      <c r="D67" s="812">
        <v>73112</v>
      </c>
      <c r="E67" s="812">
        <v>68316</v>
      </c>
      <c r="F67" s="812"/>
      <c r="G67" s="812"/>
      <c r="H67" s="812"/>
      <c r="I67" s="812"/>
      <c r="J67" s="812"/>
      <c r="K67" s="812"/>
      <c r="L67" s="812">
        <v>335423</v>
      </c>
      <c r="M67" s="812">
        <v>229652</v>
      </c>
      <c r="N67" s="812"/>
      <c r="O67" s="812"/>
      <c r="P67" s="812"/>
      <c r="Q67" s="812"/>
      <c r="R67" s="812"/>
      <c r="S67" s="812"/>
      <c r="T67" s="812">
        <v>75811</v>
      </c>
      <c r="U67" s="812">
        <v>74722</v>
      </c>
      <c r="V67" s="812"/>
      <c r="W67" s="812"/>
      <c r="X67" s="812">
        <f>69585+845791</f>
        <v>915376</v>
      </c>
      <c r="Y67" s="812">
        <f>70921+547788</f>
        <v>618709</v>
      </c>
      <c r="Z67" s="812"/>
      <c r="AA67" s="812"/>
      <c r="AB67" s="812">
        <v>420921.99</v>
      </c>
      <c r="AC67" s="812">
        <v>350313</v>
      </c>
      <c r="AD67" s="812"/>
      <c r="AE67" s="812"/>
      <c r="AF67" s="812"/>
      <c r="AG67" s="812"/>
      <c r="AH67" s="812"/>
      <c r="AI67" s="812"/>
      <c r="AJ67" s="812"/>
      <c r="AK67" s="812"/>
      <c r="AL67" s="812"/>
      <c r="AM67" s="812"/>
      <c r="AN67" s="812"/>
      <c r="AO67" s="812"/>
      <c r="AP67" s="812"/>
      <c r="AQ67" s="812"/>
      <c r="AR67" s="812"/>
      <c r="AS67" s="812"/>
      <c r="AT67" s="812"/>
      <c r="AU67" s="818"/>
      <c r="AV67" s="1275">
        <f t="shared" si="4"/>
        <v>1820643.99</v>
      </c>
      <c r="AW67" s="1276">
        <f t="shared" si="5"/>
        <v>1341712</v>
      </c>
      <c r="AX67" s="818"/>
      <c r="AY67" s="813"/>
      <c r="AZ67" s="813">
        <f t="shared" si="1"/>
        <v>1820643.99</v>
      </c>
      <c r="BA67" s="813">
        <f t="shared" si="1"/>
        <v>1341712</v>
      </c>
    </row>
    <row r="68" spans="1:53" ht="16.5">
      <c r="A68" s="107" t="s">
        <v>74</v>
      </c>
      <c r="B68" s="107">
        <v>452125</v>
      </c>
      <c r="C68" s="813">
        <v>440721</v>
      </c>
      <c r="D68" s="812">
        <v>1928</v>
      </c>
      <c r="E68" s="812">
        <v>1928</v>
      </c>
      <c r="F68" s="812">
        <v>218925</v>
      </c>
      <c r="G68" s="812">
        <v>221258</v>
      </c>
      <c r="H68" s="812">
        <f>596009+76707</f>
        <v>672716</v>
      </c>
      <c r="I68" s="812">
        <f>490377+54110</f>
        <v>544487</v>
      </c>
      <c r="J68" s="812"/>
      <c r="K68" s="812"/>
      <c r="L68" s="812"/>
      <c r="M68" s="812"/>
      <c r="N68" s="812">
        <f>8115+185116</f>
        <v>193231</v>
      </c>
      <c r="O68" s="812">
        <f>8115+141511</f>
        <v>149626</v>
      </c>
      <c r="P68" s="812">
        <v>4595</v>
      </c>
      <c r="Q68" s="812">
        <v>3832</v>
      </c>
      <c r="R68" s="812">
        <f>350125+741956</f>
        <v>1092081</v>
      </c>
      <c r="S68" s="812">
        <f>283852+660445</f>
        <v>944297</v>
      </c>
      <c r="T68" s="812">
        <v>911111</v>
      </c>
      <c r="U68" s="812">
        <v>911111</v>
      </c>
      <c r="V68" s="812">
        <v>405108</v>
      </c>
      <c r="W68" s="812">
        <v>396861</v>
      </c>
      <c r="X68" s="812"/>
      <c r="Y68" s="812"/>
      <c r="Z68" s="812">
        <v>166466</v>
      </c>
      <c r="AA68" s="812">
        <v>146820</v>
      </c>
      <c r="AB68" s="812"/>
      <c r="AC68" s="812"/>
      <c r="AD68" s="812">
        <v>158753</v>
      </c>
      <c r="AE68" s="812">
        <v>126199</v>
      </c>
      <c r="AF68" s="812"/>
      <c r="AG68" s="812"/>
      <c r="AH68" s="812"/>
      <c r="AI68" s="812">
        <v>402848</v>
      </c>
      <c r="AJ68" s="812">
        <v>357210</v>
      </c>
      <c r="AK68" s="812">
        <v>335217</v>
      </c>
      <c r="AL68" s="812"/>
      <c r="AM68" s="812"/>
      <c r="AN68" s="812">
        <f>1654364+3871020</f>
        <v>5525384</v>
      </c>
      <c r="AO68" s="812">
        <f>1495749+1044294</f>
        <v>2540043</v>
      </c>
      <c r="AP68" s="812">
        <v>57835</v>
      </c>
      <c r="AQ68" s="812">
        <v>63961</v>
      </c>
      <c r="AR68" s="812">
        <f>53384+22274</f>
        <v>75658</v>
      </c>
      <c r="AS68" s="812">
        <f>62527+19344</f>
        <v>81871</v>
      </c>
      <c r="AT68" s="812">
        <f>2582+32590+174256</f>
        <v>209428</v>
      </c>
      <c r="AU68" s="818">
        <f>1554+26797+112854</f>
        <v>141205</v>
      </c>
      <c r="AV68" s="1275">
        <f t="shared" si="4"/>
        <v>10502554</v>
      </c>
      <c r="AW68" s="1276">
        <f t="shared" si="5"/>
        <v>7452285</v>
      </c>
      <c r="AX68" s="818"/>
      <c r="AY68" s="813"/>
      <c r="AZ68" s="813">
        <f t="shared" si="1"/>
        <v>10502554</v>
      </c>
      <c r="BA68" s="813">
        <f t="shared" si="1"/>
        <v>7452285</v>
      </c>
    </row>
    <row r="69" spans="1:53" ht="18.75" thickBot="1">
      <c r="A69" s="1026" t="s">
        <v>54</v>
      </c>
      <c r="B69" s="1026">
        <f>SUM(B61:B68)</f>
        <v>4952899</v>
      </c>
      <c r="C69" s="1036">
        <f>SUM(C61:C68)</f>
        <v>7151841</v>
      </c>
      <c r="D69" s="1037">
        <v>159592</v>
      </c>
      <c r="E69" s="1037">
        <v>154796</v>
      </c>
      <c r="F69" s="1037">
        <f>F61+F62+F68</f>
        <v>546993</v>
      </c>
      <c r="G69" s="1037">
        <f>G62+G68</f>
        <v>234099</v>
      </c>
      <c r="H69" s="1037">
        <v>676784</v>
      </c>
      <c r="I69" s="1037">
        <v>544487</v>
      </c>
      <c r="J69" s="1037"/>
      <c r="K69" s="1037"/>
      <c r="L69" s="1037">
        <v>1853800</v>
      </c>
      <c r="M69" s="1037">
        <v>1667281</v>
      </c>
      <c r="N69" s="1037">
        <v>396434</v>
      </c>
      <c r="O69" s="1037">
        <v>287263</v>
      </c>
      <c r="P69" s="1037">
        <v>4595</v>
      </c>
      <c r="Q69" s="1037">
        <f>SUM(Q65:Q68)</f>
        <v>39239</v>
      </c>
      <c r="R69" s="1037">
        <v>3930190</v>
      </c>
      <c r="S69" s="1037">
        <v>3879942</v>
      </c>
      <c r="T69" s="1037">
        <v>1045194</v>
      </c>
      <c r="U69" s="1037">
        <v>1040680</v>
      </c>
      <c r="V69" s="1037">
        <v>18539107</v>
      </c>
      <c r="W69" s="1037">
        <v>21884835</v>
      </c>
      <c r="X69" s="1037">
        <v>13116358</v>
      </c>
      <c r="Y69" s="1037">
        <v>6707258</v>
      </c>
      <c r="Z69" s="1037">
        <v>637939</v>
      </c>
      <c r="AA69" s="1037">
        <v>657422</v>
      </c>
      <c r="AB69" s="1037"/>
      <c r="AC69" s="1037"/>
      <c r="AD69" s="1037">
        <v>4672188</v>
      </c>
      <c r="AE69" s="1037">
        <v>5374263</v>
      </c>
      <c r="AF69" s="1037"/>
      <c r="AG69" s="1037"/>
      <c r="AH69" s="1037"/>
      <c r="AI69" s="1037">
        <v>5173668</v>
      </c>
      <c r="AJ69" s="1037">
        <v>2599479</v>
      </c>
      <c r="AK69" s="1037">
        <v>2267796</v>
      </c>
      <c r="AL69" s="1037"/>
      <c r="AM69" s="1037"/>
      <c r="AN69" s="1037">
        <v>16435340</v>
      </c>
      <c r="AO69" s="1037">
        <v>11145644</v>
      </c>
      <c r="AP69" s="1037">
        <v>57835</v>
      </c>
      <c r="AQ69" s="1037">
        <v>63961</v>
      </c>
      <c r="AR69" s="1037"/>
      <c r="AS69" s="1037"/>
      <c r="AT69" s="1037">
        <v>230769</v>
      </c>
      <c r="AU69" s="1249">
        <v>164215</v>
      </c>
      <c r="AV69" s="1463">
        <f t="shared" si="4"/>
        <v>69855496</v>
      </c>
      <c r="AW69" s="1278">
        <f>SUM(C69+E69+G69+I69+K69+M69+O69+Q69+S69+U69+W69+Y69+AA69+AC69+AE69+AG69+AI69+AK69+AM69+AO69+AQ69+AS69+AU69)</f>
        <v>68438690</v>
      </c>
      <c r="AX69" s="1038"/>
      <c r="AY69" s="1036"/>
      <c r="AZ69" s="814">
        <f>AV69+AX69</f>
        <v>69855496</v>
      </c>
      <c r="BA69" s="814">
        <f>AW69+AY69</f>
        <v>68438690</v>
      </c>
    </row>
    <row r="70" spans="3:53" ht="15">
      <c r="C70" s="1039"/>
      <c r="D70" s="1039"/>
      <c r="E70" s="1039"/>
      <c r="F70" s="1039"/>
      <c r="G70" s="1039"/>
      <c r="H70" s="1039"/>
      <c r="I70" s="1039"/>
      <c r="J70" s="1039"/>
      <c r="K70" s="1039"/>
      <c r="L70" s="1039"/>
      <c r="M70" s="1039"/>
      <c r="N70" s="1039"/>
      <c r="O70" s="1039"/>
      <c r="P70" s="1039"/>
      <c r="Q70" s="1039"/>
      <c r="R70" s="1039"/>
      <c r="S70" s="1039"/>
      <c r="T70" s="1039"/>
      <c r="U70" s="1039"/>
      <c r="V70" s="1039"/>
      <c r="W70" s="1039"/>
      <c r="X70" s="1039"/>
      <c r="Y70" s="1039"/>
      <c r="Z70" s="1039"/>
      <c r="AA70" s="1039"/>
      <c r="AB70" s="1039"/>
      <c r="AC70" s="1039"/>
      <c r="AD70" s="1039"/>
      <c r="AE70" s="1039"/>
      <c r="AF70" s="1039"/>
      <c r="AG70" s="1039"/>
      <c r="AH70" s="1039"/>
      <c r="AI70" s="1039"/>
      <c r="AJ70" s="1039"/>
      <c r="AK70" s="1039"/>
      <c r="AL70" s="1039"/>
      <c r="AM70" s="1039"/>
      <c r="AN70" s="1039"/>
      <c r="AO70" s="1039"/>
      <c r="AP70" s="1039"/>
      <c r="AQ70" s="1039"/>
      <c r="AR70" s="1039"/>
      <c r="AS70" s="1039"/>
      <c r="AT70" s="1039"/>
      <c r="AU70" s="1039"/>
      <c r="AV70" s="1039"/>
      <c r="AW70" s="1039"/>
      <c r="AX70" s="1039"/>
      <c r="AY70" s="1039"/>
      <c r="AZ70" s="1039"/>
      <c r="BA70" s="1039"/>
    </row>
    <row r="71" spans="3:53" ht="15">
      <c r="C71" s="1039"/>
      <c r="D71" s="1039"/>
      <c r="E71" s="1039"/>
      <c r="F71" s="1039"/>
      <c r="G71" s="1039"/>
      <c r="H71" s="1039"/>
      <c r="I71" s="1039"/>
      <c r="J71" s="1039"/>
      <c r="K71" s="1039"/>
      <c r="L71" s="1039"/>
      <c r="M71" s="1039"/>
      <c r="N71" s="1039"/>
      <c r="O71" s="1039"/>
      <c r="P71" s="1039"/>
      <c r="Q71" s="1039"/>
      <c r="R71" s="1039"/>
      <c r="S71" s="1039"/>
      <c r="T71" s="1039"/>
      <c r="U71" s="1039"/>
      <c r="V71" s="1039"/>
      <c r="W71" s="1039"/>
      <c r="X71" s="1039"/>
      <c r="Y71" s="1039"/>
      <c r="Z71" s="1039"/>
      <c r="AA71" s="1039"/>
      <c r="AB71" s="1039"/>
      <c r="AC71" s="1039"/>
      <c r="AD71" s="1039"/>
      <c r="AE71" s="1039"/>
      <c r="AF71" s="1039"/>
      <c r="AG71" s="1039"/>
      <c r="AH71" s="1039"/>
      <c r="AI71" s="1039"/>
      <c r="AJ71" s="1039"/>
      <c r="AK71" s="1039"/>
      <c r="AL71" s="1039"/>
      <c r="AM71" s="1039"/>
      <c r="AN71" s="1039"/>
      <c r="AO71" s="1039"/>
      <c r="AP71" s="1039"/>
      <c r="AQ71" s="1039"/>
      <c r="AR71" s="1039"/>
      <c r="AS71" s="1039"/>
      <c r="AT71" s="1039"/>
      <c r="AU71" s="1039"/>
      <c r="AV71" s="1039"/>
      <c r="AW71" s="1039"/>
      <c r="AX71" s="1039"/>
      <c r="AY71" s="1039"/>
      <c r="AZ71" s="1039"/>
      <c r="BA71" s="1039"/>
    </row>
  </sheetData>
  <sheetProtection/>
  <mergeCells count="26">
    <mergeCell ref="AX1:AY1"/>
    <mergeCell ref="AZ1:BA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BA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C8" sqref="BC8"/>
    </sheetView>
  </sheetViews>
  <sheetFormatPr defaultColWidth="23.57421875" defaultRowHeight="15"/>
  <cols>
    <col min="1" max="1" width="30.421875" style="0" bestFit="1" customWidth="1"/>
    <col min="2" max="15" width="12.8515625" style="0" bestFit="1" customWidth="1"/>
    <col min="16" max="16" width="12.8515625" style="0" customWidth="1"/>
    <col min="17" max="18" width="12.8515625" style="0" bestFit="1" customWidth="1"/>
    <col min="19" max="19" width="12.8515625" style="0" customWidth="1"/>
    <col min="20" max="53" width="12.8515625" style="0" bestFit="1" customWidth="1"/>
  </cols>
  <sheetData>
    <row r="1" spans="1:51" s="106" customFormat="1" ht="18">
      <c r="A1" s="1626" t="s">
        <v>58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1626"/>
      <c r="T1" s="1626"/>
      <c r="U1" s="1626"/>
      <c r="V1" s="1626"/>
      <c r="W1" s="1626"/>
      <c r="X1" s="1626"/>
      <c r="Y1" s="1626"/>
      <c r="Z1" s="1626"/>
      <c r="AA1" s="1626"/>
      <c r="AB1" s="1626"/>
      <c r="AC1" s="1626"/>
      <c r="AD1" s="1626"/>
      <c r="AE1" s="1626"/>
      <c r="AF1" s="1626"/>
      <c r="AG1" s="1626"/>
      <c r="AH1" s="1626"/>
      <c r="AI1" s="1626"/>
      <c r="AJ1" s="1626"/>
      <c r="AK1" s="1626"/>
      <c r="AL1" s="1626"/>
      <c r="AM1" s="1626"/>
      <c r="AN1" s="1626"/>
      <c r="AO1" s="1626"/>
      <c r="AP1" s="1626"/>
      <c r="AQ1" s="1626"/>
      <c r="AR1" s="1626"/>
      <c r="AS1" s="1626"/>
      <c r="AT1" s="1626"/>
      <c r="AU1" s="1626"/>
      <c r="AV1" s="1626"/>
      <c r="AW1" s="1626"/>
      <c r="AX1" s="1626"/>
      <c r="AY1" s="1626"/>
    </row>
    <row r="2" spans="1:51" s="531" customFormat="1" ht="18" thickBot="1">
      <c r="A2" s="1627" t="s">
        <v>59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1627"/>
      <c r="N2" s="1627"/>
      <c r="O2" s="1627"/>
      <c r="P2" s="1627"/>
      <c r="Q2" s="1627"/>
      <c r="R2" s="1627"/>
      <c r="S2" s="1627"/>
      <c r="T2" s="1627"/>
      <c r="U2" s="1627"/>
      <c r="V2" s="1627"/>
      <c r="W2" s="1627"/>
      <c r="X2" s="1627"/>
      <c r="Y2" s="1627"/>
      <c r="Z2" s="1627"/>
      <c r="AA2" s="1627"/>
      <c r="AB2" s="1627"/>
      <c r="AC2" s="1627"/>
      <c r="AD2" s="1627"/>
      <c r="AE2" s="1627"/>
      <c r="AF2" s="1627"/>
      <c r="AG2" s="1627"/>
      <c r="AH2" s="1627"/>
      <c r="AI2" s="1627"/>
      <c r="AJ2" s="1627"/>
      <c r="AK2" s="1627"/>
      <c r="AL2" s="1627"/>
      <c r="AM2" s="1627"/>
      <c r="AN2" s="1627"/>
      <c r="AO2" s="1627"/>
      <c r="AP2" s="1627"/>
      <c r="AQ2" s="1627"/>
      <c r="AR2" s="1627"/>
      <c r="AS2" s="1627"/>
      <c r="AT2" s="1627"/>
      <c r="AU2" s="1627"/>
      <c r="AV2" s="1627"/>
      <c r="AW2" s="1627"/>
      <c r="AX2" s="1627"/>
      <c r="AY2" s="1627"/>
    </row>
    <row r="3" spans="1:53" s="825" customFormat="1" ht="30.75" customHeight="1">
      <c r="A3" s="1628" t="s">
        <v>0</v>
      </c>
      <c r="B3" s="1623" t="s">
        <v>163</v>
      </c>
      <c r="C3" s="1624"/>
      <c r="D3" s="1623" t="s">
        <v>164</v>
      </c>
      <c r="E3" s="1624"/>
      <c r="F3" s="1625" t="s">
        <v>165</v>
      </c>
      <c r="G3" s="1624"/>
      <c r="H3" s="1623" t="s">
        <v>166</v>
      </c>
      <c r="I3" s="1624"/>
      <c r="J3" s="1623" t="s">
        <v>167</v>
      </c>
      <c r="K3" s="1624"/>
      <c r="L3" s="1625" t="s">
        <v>168</v>
      </c>
      <c r="M3" s="1624"/>
      <c r="N3" s="1623" t="s">
        <v>446</v>
      </c>
      <c r="O3" s="1624"/>
      <c r="P3" s="1623" t="s">
        <v>169</v>
      </c>
      <c r="Q3" s="1624"/>
      <c r="R3" s="1623" t="s">
        <v>170</v>
      </c>
      <c r="S3" s="1624"/>
      <c r="T3" s="1623" t="s">
        <v>171</v>
      </c>
      <c r="U3" s="1624"/>
      <c r="V3" s="1623" t="s">
        <v>172</v>
      </c>
      <c r="W3" s="1624"/>
      <c r="X3" s="1625" t="s">
        <v>173</v>
      </c>
      <c r="Y3" s="1624"/>
      <c r="Z3" s="1623" t="s">
        <v>526</v>
      </c>
      <c r="AA3" s="1624"/>
      <c r="AB3" s="1623" t="s">
        <v>174</v>
      </c>
      <c r="AC3" s="1624"/>
      <c r="AD3" s="1621" t="s">
        <v>175</v>
      </c>
      <c r="AE3" s="1622"/>
      <c r="AF3" s="1625" t="s">
        <v>176</v>
      </c>
      <c r="AG3" s="1624"/>
      <c r="AH3" s="1625" t="s">
        <v>177</v>
      </c>
      <c r="AI3" s="1624"/>
      <c r="AJ3" s="1623" t="s">
        <v>178</v>
      </c>
      <c r="AK3" s="1624"/>
      <c r="AL3" s="1621" t="s">
        <v>179</v>
      </c>
      <c r="AM3" s="1622"/>
      <c r="AN3" s="1625" t="s">
        <v>180</v>
      </c>
      <c r="AO3" s="1624"/>
      <c r="AP3" s="1623" t="s">
        <v>181</v>
      </c>
      <c r="AQ3" s="1624"/>
      <c r="AR3" s="1625" t="s">
        <v>182</v>
      </c>
      <c r="AS3" s="1624"/>
      <c r="AT3" s="1625" t="s">
        <v>183</v>
      </c>
      <c r="AU3" s="1624"/>
      <c r="AV3" s="1623" t="s">
        <v>1</v>
      </c>
      <c r="AW3" s="1624"/>
      <c r="AX3" s="1630" t="s">
        <v>184</v>
      </c>
      <c r="AY3" s="1631"/>
      <c r="AZ3" s="1621" t="s">
        <v>2</v>
      </c>
      <c r="BA3" s="1622"/>
    </row>
    <row r="4" spans="1:53" s="532" customFormat="1" ht="15.75" thickBot="1">
      <c r="A4" s="1629"/>
      <c r="B4" s="922" t="s">
        <v>520</v>
      </c>
      <c r="C4" s="530" t="s">
        <v>378</v>
      </c>
      <c r="D4" s="922" t="s">
        <v>520</v>
      </c>
      <c r="E4" s="530" t="s">
        <v>378</v>
      </c>
      <c r="F4" s="922" t="s">
        <v>520</v>
      </c>
      <c r="G4" s="530" t="s">
        <v>378</v>
      </c>
      <c r="H4" s="922" t="s">
        <v>520</v>
      </c>
      <c r="I4" s="530" t="s">
        <v>378</v>
      </c>
      <c r="J4" s="922" t="s">
        <v>520</v>
      </c>
      <c r="K4" s="530" t="s">
        <v>378</v>
      </c>
      <c r="L4" s="922" t="s">
        <v>520</v>
      </c>
      <c r="M4" s="530" t="s">
        <v>378</v>
      </c>
      <c r="N4" s="922" t="s">
        <v>520</v>
      </c>
      <c r="O4" s="530" t="s">
        <v>378</v>
      </c>
      <c r="P4" s="922" t="s">
        <v>520</v>
      </c>
      <c r="Q4" s="530" t="s">
        <v>378</v>
      </c>
      <c r="R4" s="922" t="s">
        <v>520</v>
      </c>
      <c r="S4" s="530" t="s">
        <v>378</v>
      </c>
      <c r="T4" s="922" t="s">
        <v>520</v>
      </c>
      <c r="U4" s="530" t="s">
        <v>378</v>
      </c>
      <c r="V4" s="922" t="s">
        <v>520</v>
      </c>
      <c r="W4" s="530" t="s">
        <v>378</v>
      </c>
      <c r="X4" s="922" t="s">
        <v>520</v>
      </c>
      <c r="Y4" s="530" t="s">
        <v>378</v>
      </c>
      <c r="Z4" s="922" t="s">
        <v>520</v>
      </c>
      <c r="AA4" s="530" t="s">
        <v>378</v>
      </c>
      <c r="AB4" s="922" t="s">
        <v>520</v>
      </c>
      <c r="AC4" s="530" t="s">
        <v>378</v>
      </c>
      <c r="AD4" s="922" t="s">
        <v>520</v>
      </c>
      <c r="AE4" s="530" t="s">
        <v>378</v>
      </c>
      <c r="AF4" s="922" t="s">
        <v>520</v>
      </c>
      <c r="AG4" s="530" t="s">
        <v>378</v>
      </c>
      <c r="AH4" s="922" t="s">
        <v>520</v>
      </c>
      <c r="AI4" s="530" t="s">
        <v>378</v>
      </c>
      <c r="AJ4" s="922" t="s">
        <v>520</v>
      </c>
      <c r="AK4" s="530" t="s">
        <v>378</v>
      </c>
      <c r="AL4" s="922" t="s">
        <v>520</v>
      </c>
      <c r="AM4" s="530" t="s">
        <v>378</v>
      </c>
      <c r="AN4" s="922" t="s">
        <v>520</v>
      </c>
      <c r="AO4" s="530" t="s">
        <v>378</v>
      </c>
      <c r="AP4" s="922" t="s">
        <v>520</v>
      </c>
      <c r="AQ4" s="530" t="s">
        <v>378</v>
      </c>
      <c r="AR4" s="922" t="s">
        <v>520</v>
      </c>
      <c r="AS4" s="530" t="s">
        <v>378</v>
      </c>
      <c r="AT4" s="922" t="s">
        <v>520</v>
      </c>
      <c r="AU4" s="530" t="s">
        <v>378</v>
      </c>
      <c r="AV4" s="922" t="s">
        <v>520</v>
      </c>
      <c r="AW4" s="530" t="s">
        <v>378</v>
      </c>
      <c r="AX4" s="922" t="s">
        <v>520</v>
      </c>
      <c r="AY4" s="530" t="s">
        <v>378</v>
      </c>
      <c r="AZ4" s="922" t="s">
        <v>520</v>
      </c>
      <c r="BA4" s="530" t="s">
        <v>378</v>
      </c>
    </row>
    <row r="5" spans="1:53" s="109" customFormat="1" ht="14.25">
      <c r="A5" s="442" t="s">
        <v>21</v>
      </c>
      <c r="B5" s="897"/>
      <c r="C5" s="173"/>
      <c r="D5" s="172"/>
      <c r="E5" s="173"/>
      <c r="F5" s="904"/>
      <c r="G5" s="173"/>
      <c r="H5" s="172"/>
      <c r="I5" s="173"/>
      <c r="J5" s="172"/>
      <c r="K5" s="173"/>
      <c r="L5" s="904"/>
      <c r="M5" s="173"/>
      <c r="N5" s="172"/>
      <c r="O5" s="173"/>
      <c r="P5" s="172"/>
      <c r="Q5" s="173"/>
      <c r="R5" s="172"/>
      <c r="S5" s="173"/>
      <c r="T5" s="172"/>
      <c r="U5" s="173"/>
      <c r="V5" s="176"/>
      <c r="W5" s="174"/>
      <c r="X5" s="837"/>
      <c r="Y5" s="234"/>
      <c r="Z5" s="925"/>
      <c r="AA5" s="925"/>
      <c r="AB5" s="172"/>
      <c r="AC5" s="173"/>
      <c r="AD5" s="172"/>
      <c r="AE5" s="173"/>
      <c r="AF5" s="837"/>
      <c r="AG5" s="234"/>
      <c r="AH5" s="837"/>
      <c r="AI5" s="234"/>
      <c r="AJ5" s="172"/>
      <c r="AK5" s="173"/>
      <c r="AL5" s="233"/>
      <c r="AM5" s="234"/>
      <c r="AN5" s="837"/>
      <c r="AO5" s="234"/>
      <c r="AP5" s="172"/>
      <c r="AQ5" s="173"/>
      <c r="AR5" s="837"/>
      <c r="AS5" s="234"/>
      <c r="AT5" s="837"/>
      <c r="AU5" s="234"/>
      <c r="AV5" s="443"/>
      <c r="AW5" s="444"/>
      <c r="AX5" s="172"/>
      <c r="AY5" s="173"/>
      <c r="AZ5" s="445"/>
      <c r="BA5" s="446"/>
    </row>
    <row r="6" spans="1:53" s="109" customFormat="1" ht="14.25">
      <c r="A6" s="107" t="s">
        <v>22</v>
      </c>
      <c r="B6" s="898"/>
      <c r="C6" s="110"/>
      <c r="D6" s="112"/>
      <c r="E6" s="113"/>
      <c r="F6" s="905"/>
      <c r="G6" s="113"/>
      <c r="H6" s="112"/>
      <c r="I6" s="113"/>
      <c r="J6" s="112"/>
      <c r="K6" s="113"/>
      <c r="L6" s="905"/>
      <c r="M6" s="113"/>
      <c r="N6" s="112"/>
      <c r="O6" s="113"/>
      <c r="P6" s="112"/>
      <c r="Q6" s="113"/>
      <c r="R6" s="112"/>
      <c r="S6" s="113"/>
      <c r="T6" s="112"/>
      <c r="U6" s="113"/>
      <c r="V6" s="115"/>
      <c r="W6" s="116"/>
      <c r="X6" s="905"/>
      <c r="Y6" s="113"/>
      <c r="Z6" s="926"/>
      <c r="AA6" s="926"/>
      <c r="AB6" s="112"/>
      <c r="AC6" s="113"/>
      <c r="AD6" s="112"/>
      <c r="AE6" s="113"/>
      <c r="AF6" s="905"/>
      <c r="AG6" s="113"/>
      <c r="AH6" s="905"/>
      <c r="AI6" s="113"/>
      <c r="AJ6" s="112"/>
      <c r="AK6" s="113"/>
      <c r="AL6" s="111"/>
      <c r="AM6" s="113"/>
      <c r="AN6" s="448"/>
      <c r="AO6" s="108"/>
      <c r="AP6" s="118"/>
      <c r="AQ6" s="933"/>
      <c r="AR6" s="931"/>
      <c r="AS6" s="120"/>
      <c r="AT6" s="905"/>
      <c r="AU6" s="113"/>
      <c r="AV6" s="121"/>
      <c r="AW6" s="122"/>
      <c r="AX6" s="119"/>
      <c r="AY6" s="120"/>
      <c r="AZ6" s="112"/>
      <c r="BA6" s="108"/>
    </row>
    <row r="7" spans="1:53" s="109" customFormat="1" ht="14.25">
      <c r="A7" s="107" t="s">
        <v>23</v>
      </c>
      <c r="B7" s="890">
        <v>20547732</v>
      </c>
      <c r="C7" s="124">
        <v>17905307</v>
      </c>
      <c r="D7" s="115">
        <v>556294</v>
      </c>
      <c r="E7" s="116">
        <v>882318</v>
      </c>
      <c r="F7" s="139">
        <v>2060546</v>
      </c>
      <c r="G7" s="116">
        <v>2061827</v>
      </c>
      <c r="H7" s="115">
        <v>24605818</v>
      </c>
      <c r="I7" s="116">
        <v>19190588</v>
      </c>
      <c r="J7" s="115">
        <v>5595114</v>
      </c>
      <c r="K7" s="116">
        <v>5888505</v>
      </c>
      <c r="L7" s="139">
        <v>10068954</v>
      </c>
      <c r="M7" s="116">
        <v>9688633</v>
      </c>
      <c r="N7" s="115">
        <v>1104135</v>
      </c>
      <c r="O7" s="116">
        <v>1545973</v>
      </c>
      <c r="P7" s="115">
        <v>4323550</v>
      </c>
      <c r="Q7" s="116">
        <v>3518801</v>
      </c>
      <c r="R7" s="115">
        <v>6875511</v>
      </c>
      <c r="S7" s="116">
        <v>7746879</v>
      </c>
      <c r="T7" s="115">
        <v>4406854</v>
      </c>
      <c r="U7" s="116">
        <v>6845885</v>
      </c>
      <c r="V7" s="115">
        <v>68584270</v>
      </c>
      <c r="W7" s="116">
        <v>60442727</v>
      </c>
      <c r="X7" s="139">
        <v>51872001</v>
      </c>
      <c r="Y7" s="116">
        <v>65077876</v>
      </c>
      <c r="Z7" s="927">
        <v>2670165</v>
      </c>
      <c r="AA7" s="927">
        <v>2684736</v>
      </c>
      <c r="AB7" s="112">
        <v>8914499.59</v>
      </c>
      <c r="AC7" s="113">
        <v>8485769.56</v>
      </c>
      <c r="AD7" s="115">
        <v>29783895</v>
      </c>
      <c r="AE7" s="116">
        <v>31091622</v>
      </c>
      <c r="AF7" s="139">
        <v>48333723</v>
      </c>
      <c r="AG7" s="116">
        <v>40884995</v>
      </c>
      <c r="AH7" s="139"/>
      <c r="AI7" s="116">
        <v>13546597</v>
      </c>
      <c r="AJ7" s="115">
        <v>10651365</v>
      </c>
      <c r="AK7" s="116">
        <v>9373299</v>
      </c>
      <c r="AL7" s="111"/>
      <c r="AM7" s="113"/>
      <c r="AN7" s="85">
        <v>103381043</v>
      </c>
      <c r="AO7" s="86">
        <v>98287923</v>
      </c>
      <c r="AP7" s="129">
        <v>6205187</v>
      </c>
      <c r="AQ7" s="918">
        <v>4625540</v>
      </c>
      <c r="AR7" s="875">
        <v>7913072</v>
      </c>
      <c r="AS7" s="918">
        <v>5784694</v>
      </c>
      <c r="AT7" s="139">
        <v>35125133</v>
      </c>
      <c r="AU7" s="116">
        <v>27705809</v>
      </c>
      <c r="AV7" s="132">
        <f aca="true" t="shared" si="0" ref="AV7:AW10">SUM(B7+D7+F7+H7+J7+L7+N7+P7+R7+T7+V7+X7+Z7+AB7+AD7+AF7+AH7+AJ7+AL7+AN7+AP7+AR7+AT7)</f>
        <v>453578861.59000003</v>
      </c>
      <c r="AW7" s="133">
        <f t="shared" si="0"/>
        <v>443266303.56</v>
      </c>
      <c r="AX7" s="130">
        <v>339308577</v>
      </c>
      <c r="AY7" s="131">
        <v>579587584</v>
      </c>
      <c r="AZ7" s="132">
        <f aca="true" t="shared" si="1" ref="AZ7:BA10">AV7+AX7</f>
        <v>792887438.59</v>
      </c>
      <c r="BA7" s="133">
        <f t="shared" si="1"/>
        <v>1022853887.56</v>
      </c>
    </row>
    <row r="8" spans="1:53" s="109" customFormat="1" ht="14.25">
      <c r="A8" s="107" t="s">
        <v>24</v>
      </c>
      <c r="B8" s="890">
        <v>52115403</v>
      </c>
      <c r="C8" s="124">
        <v>43527582</v>
      </c>
      <c r="D8" s="115">
        <v>4642960</v>
      </c>
      <c r="E8" s="116">
        <v>4840044</v>
      </c>
      <c r="F8" s="139">
        <v>9451422</v>
      </c>
      <c r="G8" s="116">
        <v>9760491</v>
      </c>
      <c r="H8" s="115">
        <v>57116075</v>
      </c>
      <c r="I8" s="116">
        <v>45735202</v>
      </c>
      <c r="J8" s="115">
        <v>14979766</v>
      </c>
      <c r="K8" s="116">
        <v>13586969</v>
      </c>
      <c r="L8" s="139">
        <v>28147785</v>
      </c>
      <c r="M8" s="116">
        <v>24150854</v>
      </c>
      <c r="N8" s="115">
        <v>7665957</v>
      </c>
      <c r="O8" s="116">
        <v>7162957</v>
      </c>
      <c r="P8" s="115">
        <v>7928127</v>
      </c>
      <c r="Q8" s="116">
        <v>6653572</v>
      </c>
      <c r="R8" s="115">
        <v>25437012</v>
      </c>
      <c r="S8" s="116">
        <v>23307024</v>
      </c>
      <c r="T8" s="115">
        <v>7993171</v>
      </c>
      <c r="U8" s="116">
        <v>7127490</v>
      </c>
      <c r="V8" s="115">
        <v>184768674</v>
      </c>
      <c r="W8" s="116">
        <v>154684432</v>
      </c>
      <c r="X8" s="139">
        <v>225067612</v>
      </c>
      <c r="Y8" s="116">
        <v>209431834</v>
      </c>
      <c r="Z8" s="927">
        <v>13268997</v>
      </c>
      <c r="AA8" s="927">
        <v>12820121</v>
      </c>
      <c r="AB8" s="112">
        <v>20049324.13</v>
      </c>
      <c r="AC8" s="113">
        <v>14936482.13</v>
      </c>
      <c r="AD8" s="115">
        <v>58437066</v>
      </c>
      <c r="AE8" s="116">
        <v>52343083</v>
      </c>
      <c r="AF8" s="139">
        <v>121916743</v>
      </c>
      <c r="AG8" s="116">
        <v>106001674</v>
      </c>
      <c r="AH8" s="139"/>
      <c r="AI8" s="116">
        <v>37283108</v>
      </c>
      <c r="AJ8" s="115">
        <v>36014488</v>
      </c>
      <c r="AK8" s="116">
        <v>34348245</v>
      </c>
      <c r="AL8" s="111"/>
      <c r="AM8" s="113"/>
      <c r="AN8" s="85">
        <v>296299223</v>
      </c>
      <c r="AO8" s="86">
        <v>240422341</v>
      </c>
      <c r="AP8" s="129">
        <v>11383543</v>
      </c>
      <c r="AQ8" s="918">
        <v>10288489</v>
      </c>
      <c r="AR8" s="875">
        <v>18347109</v>
      </c>
      <c r="AS8" s="918">
        <v>15393355</v>
      </c>
      <c r="AT8" s="139">
        <v>69613645</v>
      </c>
      <c r="AU8" s="116">
        <v>50664934</v>
      </c>
      <c r="AV8" s="132">
        <f t="shared" si="0"/>
        <v>1270644102.13</v>
      </c>
      <c r="AW8" s="133">
        <f t="shared" si="0"/>
        <v>1124470283.13</v>
      </c>
      <c r="AX8" s="130">
        <v>2188570045</v>
      </c>
      <c r="AY8" s="131">
        <v>2011128908</v>
      </c>
      <c r="AZ8" s="132">
        <f t="shared" si="1"/>
        <v>3459214147.13</v>
      </c>
      <c r="BA8" s="133">
        <f t="shared" si="1"/>
        <v>3135599191.13</v>
      </c>
    </row>
    <row r="9" spans="1:53" s="109" customFormat="1" ht="14.25">
      <c r="A9" s="107" t="s">
        <v>25</v>
      </c>
      <c r="B9" s="890">
        <v>25089107</v>
      </c>
      <c r="C9" s="124">
        <v>18666851</v>
      </c>
      <c r="D9" s="115">
        <v>61462</v>
      </c>
      <c r="E9" s="116">
        <v>35005</v>
      </c>
      <c r="F9" s="139">
        <v>140582</v>
      </c>
      <c r="G9" s="116">
        <v>114056</v>
      </c>
      <c r="H9" s="115">
        <v>38526521</v>
      </c>
      <c r="I9" s="116">
        <v>32599487</v>
      </c>
      <c r="J9" s="115">
        <v>2233336</v>
      </c>
      <c r="K9" s="116">
        <v>2397112</v>
      </c>
      <c r="L9" s="139">
        <v>12943558</v>
      </c>
      <c r="M9" s="116">
        <v>5588738</v>
      </c>
      <c r="N9" s="115">
        <v>1165913</v>
      </c>
      <c r="O9" s="116">
        <v>3571693</v>
      </c>
      <c r="P9" s="115">
        <v>230707</v>
      </c>
      <c r="Q9" s="116">
        <v>312474</v>
      </c>
      <c r="R9" s="115">
        <v>934972</v>
      </c>
      <c r="S9" s="116">
        <v>1141953</v>
      </c>
      <c r="T9" s="115">
        <v>821919</v>
      </c>
      <c r="U9" s="116">
        <v>829098</v>
      </c>
      <c r="V9" s="115">
        <v>132481989</v>
      </c>
      <c r="W9" s="116">
        <v>111941779</v>
      </c>
      <c r="X9" s="139">
        <v>80388632</v>
      </c>
      <c r="Y9" s="116">
        <v>59797328</v>
      </c>
      <c r="Z9" s="927">
        <v>3647212</v>
      </c>
      <c r="AA9" s="927">
        <v>2920288</v>
      </c>
      <c r="AB9" s="112">
        <v>11591198.84</v>
      </c>
      <c r="AC9" s="113">
        <v>10182112.6</v>
      </c>
      <c r="AD9" s="115">
        <v>22781250</v>
      </c>
      <c r="AE9" s="116">
        <v>19966081</v>
      </c>
      <c r="AF9" s="139">
        <v>19928522</v>
      </c>
      <c r="AG9" s="116">
        <v>14949801</v>
      </c>
      <c r="AH9" s="139"/>
      <c r="AI9" s="116">
        <v>4239847</v>
      </c>
      <c r="AJ9" s="115">
        <v>698653</v>
      </c>
      <c r="AK9" s="116">
        <v>687850</v>
      </c>
      <c r="AL9" s="111"/>
      <c r="AM9" s="113"/>
      <c r="AN9" s="85">
        <v>102861416</v>
      </c>
      <c r="AO9" s="86">
        <v>67637025</v>
      </c>
      <c r="AP9" s="129">
        <v>2596601</v>
      </c>
      <c r="AQ9" s="918">
        <v>2376516</v>
      </c>
      <c r="AR9" s="875">
        <v>3726022</v>
      </c>
      <c r="AS9" s="918">
        <v>1925542</v>
      </c>
      <c r="AT9" s="139">
        <v>6312079</v>
      </c>
      <c r="AU9" s="116">
        <v>4714336</v>
      </c>
      <c r="AV9" s="132">
        <f t="shared" si="0"/>
        <v>469161651.84</v>
      </c>
      <c r="AW9" s="133">
        <f t="shared" si="0"/>
        <v>366594972.6</v>
      </c>
      <c r="AX9" s="130">
        <v>1504986926</v>
      </c>
      <c r="AY9" s="131">
        <v>1203179498</v>
      </c>
      <c r="AZ9" s="132">
        <f t="shared" si="1"/>
        <v>1974148577.84</v>
      </c>
      <c r="BA9" s="133">
        <f t="shared" si="1"/>
        <v>1569774470.6</v>
      </c>
    </row>
    <row r="10" spans="1:53" s="836" customFormat="1" ht="14.25">
      <c r="A10" s="826" t="s">
        <v>26</v>
      </c>
      <c r="B10" s="830">
        <f aca="true" t="shared" si="2" ref="B10:G10">SUM(B7:B9)</f>
        <v>97752242</v>
      </c>
      <c r="C10" s="828">
        <f t="shared" si="2"/>
        <v>80099740</v>
      </c>
      <c r="D10" s="827">
        <f t="shared" si="2"/>
        <v>5260716</v>
      </c>
      <c r="E10" s="828">
        <f t="shared" si="2"/>
        <v>5757367</v>
      </c>
      <c r="F10" s="827">
        <f t="shared" si="2"/>
        <v>11652550</v>
      </c>
      <c r="G10" s="828">
        <f t="shared" si="2"/>
        <v>11936374</v>
      </c>
      <c r="H10" s="827">
        <f aca="true" t="shared" si="3" ref="H10:W10">SUM(H7:H9)</f>
        <v>120248414</v>
      </c>
      <c r="I10" s="828">
        <f t="shared" si="3"/>
        <v>97525277</v>
      </c>
      <c r="J10" s="827">
        <f t="shared" si="3"/>
        <v>22808216</v>
      </c>
      <c r="K10" s="828">
        <f t="shared" si="3"/>
        <v>21872586</v>
      </c>
      <c r="L10" s="827">
        <f t="shared" si="3"/>
        <v>51160297</v>
      </c>
      <c r="M10" s="828">
        <f t="shared" si="3"/>
        <v>39428225</v>
      </c>
      <c r="N10" s="827">
        <f t="shared" si="3"/>
        <v>9936005</v>
      </c>
      <c r="O10" s="828">
        <f t="shared" si="3"/>
        <v>12280623</v>
      </c>
      <c r="P10" s="827">
        <f t="shared" si="3"/>
        <v>12482384</v>
      </c>
      <c r="Q10" s="828">
        <f t="shared" si="3"/>
        <v>10484847</v>
      </c>
      <c r="R10" s="827">
        <f t="shared" si="3"/>
        <v>33247495</v>
      </c>
      <c r="S10" s="828">
        <f t="shared" si="3"/>
        <v>32195856</v>
      </c>
      <c r="T10" s="827">
        <f t="shared" si="3"/>
        <v>13221944</v>
      </c>
      <c r="U10" s="828">
        <f t="shared" si="3"/>
        <v>14802473</v>
      </c>
      <c r="V10" s="827">
        <f t="shared" si="3"/>
        <v>385834933</v>
      </c>
      <c r="W10" s="828">
        <f t="shared" si="3"/>
        <v>327068938</v>
      </c>
      <c r="X10" s="827">
        <f aca="true" t="shared" si="4" ref="X10:AM10">SUM(X7:X9)</f>
        <v>357328245</v>
      </c>
      <c r="Y10" s="831">
        <f t="shared" si="4"/>
        <v>334307038</v>
      </c>
      <c r="Z10" s="828">
        <f t="shared" si="4"/>
        <v>19586374</v>
      </c>
      <c r="AA10" s="828">
        <f t="shared" si="4"/>
        <v>18425145</v>
      </c>
      <c r="AB10" s="832">
        <f t="shared" si="4"/>
        <v>40555022.56</v>
      </c>
      <c r="AC10" s="833">
        <f t="shared" si="4"/>
        <v>33604364.29</v>
      </c>
      <c r="AD10" s="827">
        <f t="shared" si="4"/>
        <v>111002211</v>
      </c>
      <c r="AE10" s="828">
        <f t="shared" si="4"/>
        <v>103400786</v>
      </c>
      <c r="AF10" s="827">
        <f t="shared" si="4"/>
        <v>190178988</v>
      </c>
      <c r="AG10" s="831">
        <f t="shared" si="4"/>
        <v>161836470</v>
      </c>
      <c r="AH10" s="827">
        <f t="shared" si="4"/>
        <v>0</v>
      </c>
      <c r="AI10" s="831">
        <f t="shared" si="4"/>
        <v>55069552</v>
      </c>
      <c r="AJ10" s="827">
        <f t="shared" si="4"/>
        <v>47364506</v>
      </c>
      <c r="AK10" s="828">
        <f t="shared" si="4"/>
        <v>44409394</v>
      </c>
      <c r="AL10" s="830">
        <f t="shared" si="4"/>
        <v>0</v>
      </c>
      <c r="AM10" s="831">
        <f t="shared" si="4"/>
        <v>0</v>
      </c>
      <c r="AN10" s="827">
        <f aca="true" t="shared" si="5" ref="AN10:AU10">SUM(AN7:AN9)</f>
        <v>502541682</v>
      </c>
      <c r="AO10" s="831">
        <f t="shared" si="5"/>
        <v>406347289</v>
      </c>
      <c r="AP10" s="827">
        <f t="shared" si="5"/>
        <v>20185331</v>
      </c>
      <c r="AQ10" s="828">
        <f t="shared" si="5"/>
        <v>17290545</v>
      </c>
      <c r="AR10" s="827">
        <f t="shared" si="5"/>
        <v>29986203</v>
      </c>
      <c r="AS10" s="831">
        <f t="shared" si="5"/>
        <v>23103591</v>
      </c>
      <c r="AT10" s="827">
        <f t="shared" si="5"/>
        <v>111050857</v>
      </c>
      <c r="AU10" s="831">
        <f t="shared" si="5"/>
        <v>83085079</v>
      </c>
      <c r="AV10" s="834">
        <f t="shared" si="0"/>
        <v>2193384615.56</v>
      </c>
      <c r="AW10" s="835">
        <f t="shared" si="0"/>
        <v>1934331559.29</v>
      </c>
      <c r="AX10" s="834">
        <f>SUM(AX7:AX9)</f>
        <v>4032865548</v>
      </c>
      <c r="AY10" s="835">
        <f>SUM(AY7:AY9)</f>
        <v>3793895990</v>
      </c>
      <c r="AZ10" s="834">
        <f t="shared" si="1"/>
        <v>6226250163.559999</v>
      </c>
      <c r="BA10" s="835">
        <f t="shared" si="1"/>
        <v>5728227549.29</v>
      </c>
    </row>
    <row r="11" spans="1:53" s="109" customFormat="1" ht="14.25">
      <c r="A11" s="107" t="s">
        <v>27</v>
      </c>
      <c r="B11" s="890"/>
      <c r="C11" s="124"/>
      <c r="D11" s="115"/>
      <c r="E11" s="116"/>
      <c r="F11" s="139"/>
      <c r="G11" s="116"/>
      <c r="H11" s="115"/>
      <c r="I11" s="116"/>
      <c r="J11" s="115"/>
      <c r="K11" s="116"/>
      <c r="L11" s="139"/>
      <c r="M11" s="116"/>
      <c r="N11" s="115"/>
      <c r="O11" s="116"/>
      <c r="P11" s="115"/>
      <c r="Q11" s="116"/>
      <c r="R11" s="115"/>
      <c r="S11" s="116"/>
      <c r="T11" s="115"/>
      <c r="U11" s="116"/>
      <c r="V11" s="115"/>
      <c r="W11" s="116"/>
      <c r="X11" s="139"/>
      <c r="Y11" s="116"/>
      <c r="Z11" s="928"/>
      <c r="AA11" s="928"/>
      <c r="AB11" s="112"/>
      <c r="AC11" s="113"/>
      <c r="AD11" s="115"/>
      <c r="AE11" s="116"/>
      <c r="AF11" s="139"/>
      <c r="AG11" s="116"/>
      <c r="AH11" s="139"/>
      <c r="AI11" s="116"/>
      <c r="AJ11" s="115"/>
      <c r="AK11" s="116"/>
      <c r="AL11" s="111"/>
      <c r="AM11" s="113"/>
      <c r="AN11" s="448"/>
      <c r="AO11" s="108"/>
      <c r="AP11" s="129"/>
      <c r="AQ11" s="918"/>
      <c r="AR11" s="875"/>
      <c r="AS11" s="131"/>
      <c r="AT11" s="139"/>
      <c r="AU11" s="116"/>
      <c r="AV11" s="132"/>
      <c r="AW11" s="133"/>
      <c r="AX11" s="130"/>
      <c r="AY11" s="131"/>
      <c r="AZ11" s="132"/>
      <c r="BA11" s="133"/>
    </row>
    <row r="12" spans="1:53" s="109" customFormat="1" ht="14.25">
      <c r="A12" s="107" t="s">
        <v>28</v>
      </c>
      <c r="B12" s="890">
        <f>B10</f>
        <v>97752242</v>
      </c>
      <c r="C12" s="124">
        <f>C10</f>
        <v>80099740</v>
      </c>
      <c r="D12" s="142">
        <f aca="true" t="shared" si="6" ref="D12:W12">D10</f>
        <v>5260716</v>
      </c>
      <c r="E12" s="143">
        <f t="shared" si="6"/>
        <v>5757367</v>
      </c>
      <c r="F12" s="142">
        <f t="shared" si="6"/>
        <v>11652550</v>
      </c>
      <c r="G12" s="143">
        <f t="shared" si="6"/>
        <v>11936374</v>
      </c>
      <c r="H12" s="142">
        <f t="shared" si="6"/>
        <v>120248414</v>
      </c>
      <c r="I12" s="143">
        <f t="shared" si="6"/>
        <v>97525277</v>
      </c>
      <c r="J12" s="142">
        <f t="shared" si="6"/>
        <v>22808216</v>
      </c>
      <c r="K12" s="143">
        <f t="shared" si="6"/>
        <v>21872586</v>
      </c>
      <c r="L12" s="142">
        <f t="shared" si="6"/>
        <v>51160297</v>
      </c>
      <c r="M12" s="143">
        <f t="shared" si="6"/>
        <v>39428225</v>
      </c>
      <c r="N12" s="142">
        <f t="shared" si="6"/>
        <v>9936005</v>
      </c>
      <c r="O12" s="143">
        <f t="shared" si="6"/>
        <v>12280623</v>
      </c>
      <c r="P12" s="142">
        <f t="shared" si="6"/>
        <v>12482384</v>
      </c>
      <c r="Q12" s="143">
        <f t="shared" si="6"/>
        <v>10484847</v>
      </c>
      <c r="R12" s="142">
        <f t="shared" si="6"/>
        <v>33247495</v>
      </c>
      <c r="S12" s="143">
        <f t="shared" si="6"/>
        <v>32195856</v>
      </c>
      <c r="T12" s="142">
        <f t="shared" si="6"/>
        <v>13221944</v>
      </c>
      <c r="U12" s="143">
        <f t="shared" si="6"/>
        <v>14802473</v>
      </c>
      <c r="V12" s="142">
        <f t="shared" si="6"/>
        <v>385834933</v>
      </c>
      <c r="W12" s="143">
        <f t="shared" si="6"/>
        <v>327068938</v>
      </c>
      <c r="X12" s="139">
        <f aca="true" t="shared" si="7" ref="X12:AC12">X10</f>
        <v>357328245</v>
      </c>
      <c r="Y12" s="116">
        <f t="shared" si="7"/>
        <v>334307038</v>
      </c>
      <c r="Z12" s="928">
        <f t="shared" si="7"/>
        <v>19586374</v>
      </c>
      <c r="AA12" s="928">
        <f t="shared" si="7"/>
        <v>18425145</v>
      </c>
      <c r="AB12" s="111">
        <f t="shared" si="7"/>
        <v>40555022.56</v>
      </c>
      <c r="AC12" s="447">
        <f t="shared" si="7"/>
        <v>33604364.29</v>
      </c>
      <c r="AD12" s="114">
        <f aca="true" t="shared" si="8" ref="AD12:AI12">AD10</f>
        <v>111002211</v>
      </c>
      <c r="AE12" s="930">
        <f t="shared" si="8"/>
        <v>103400786</v>
      </c>
      <c r="AF12" s="139">
        <f t="shared" si="8"/>
        <v>190178988</v>
      </c>
      <c r="AG12" s="116">
        <f t="shared" si="8"/>
        <v>161836470</v>
      </c>
      <c r="AH12" s="139">
        <f t="shared" si="8"/>
        <v>0</v>
      </c>
      <c r="AI12" s="116">
        <f t="shared" si="8"/>
        <v>55069552</v>
      </c>
      <c r="AJ12" s="114">
        <f aca="true" t="shared" si="9" ref="AJ12:AO12">AJ10</f>
        <v>47364506</v>
      </c>
      <c r="AK12" s="930">
        <f t="shared" si="9"/>
        <v>44409394</v>
      </c>
      <c r="AL12" s="114">
        <f t="shared" si="9"/>
        <v>0</v>
      </c>
      <c r="AM12" s="116">
        <f t="shared" si="9"/>
        <v>0</v>
      </c>
      <c r="AN12" s="85">
        <f t="shared" si="9"/>
        <v>502541682</v>
      </c>
      <c r="AO12" s="86">
        <f t="shared" si="9"/>
        <v>406347289</v>
      </c>
      <c r="AP12" s="129">
        <f aca="true" t="shared" si="10" ref="AP12:AU12">AP10</f>
        <v>20185331</v>
      </c>
      <c r="AQ12" s="918">
        <f t="shared" si="10"/>
        <v>17290545</v>
      </c>
      <c r="AR12" s="875">
        <f t="shared" si="10"/>
        <v>29986203</v>
      </c>
      <c r="AS12" s="131">
        <f t="shared" si="10"/>
        <v>23103591</v>
      </c>
      <c r="AT12" s="875">
        <f t="shared" si="10"/>
        <v>111050857</v>
      </c>
      <c r="AU12" s="131">
        <f t="shared" si="10"/>
        <v>83085079</v>
      </c>
      <c r="AV12" s="132">
        <f>SUM(B12+D12+F12+H12+J12+L12+N12+P12+R12+T12+V12+X12+Z12+AB12+AD12+AF12+AH12+AJ12+AL12+AN12+AP12+AR12+AT12)</f>
        <v>2193384615.56</v>
      </c>
      <c r="AW12" s="133">
        <f>SUM(C12+E12+G12+I12+K12+M12+O12+Q12+S12+U12+W12+Y12+AA12+AC12+AE12+AG12+AI12+AK12+AM12+AO12+AQ12+AS12+AU12)</f>
        <v>1934331559.29</v>
      </c>
      <c r="AX12" s="130">
        <f>AX10</f>
        <v>4032865548</v>
      </c>
      <c r="AY12" s="131">
        <f>AY10</f>
        <v>3793895990</v>
      </c>
      <c r="AZ12" s="132">
        <f>AV12+AX12</f>
        <v>6226250163.559999</v>
      </c>
      <c r="BA12" s="133">
        <f>AW12+AY12</f>
        <v>5728227549.29</v>
      </c>
    </row>
    <row r="13" spans="1:53" s="109" customFormat="1" ht="14.25">
      <c r="A13" s="107" t="s">
        <v>29</v>
      </c>
      <c r="B13" s="890"/>
      <c r="C13" s="124"/>
      <c r="D13" s="115"/>
      <c r="E13" s="116"/>
      <c r="F13" s="139"/>
      <c r="G13" s="116"/>
      <c r="H13" s="115"/>
      <c r="I13" s="116"/>
      <c r="J13" s="115"/>
      <c r="K13" s="116"/>
      <c r="L13" s="139"/>
      <c r="M13" s="116"/>
      <c r="N13" s="115"/>
      <c r="O13" s="116"/>
      <c r="P13" s="115"/>
      <c r="Q13" s="116"/>
      <c r="R13" s="115"/>
      <c r="S13" s="116"/>
      <c r="T13" s="115"/>
      <c r="U13" s="116"/>
      <c r="V13" s="115"/>
      <c r="W13" s="116"/>
      <c r="X13" s="139"/>
      <c r="Y13" s="116"/>
      <c r="Z13" s="928"/>
      <c r="AA13" s="928"/>
      <c r="AB13" s="112"/>
      <c r="AC13" s="113"/>
      <c r="AD13" s="115"/>
      <c r="AE13" s="116"/>
      <c r="AF13" s="139"/>
      <c r="AG13" s="116"/>
      <c r="AH13" s="139"/>
      <c r="AI13" s="116"/>
      <c r="AJ13" s="115"/>
      <c r="AK13" s="116"/>
      <c r="AL13" s="111"/>
      <c r="AM13" s="113"/>
      <c r="AN13" s="448"/>
      <c r="AO13" s="108"/>
      <c r="AP13" s="129"/>
      <c r="AQ13" s="918"/>
      <c r="AR13" s="875"/>
      <c r="AS13" s="131"/>
      <c r="AT13" s="139"/>
      <c r="AU13" s="116"/>
      <c r="AV13" s="132"/>
      <c r="AW13" s="133"/>
      <c r="AX13" s="130"/>
      <c r="AY13" s="131"/>
      <c r="AZ13" s="132"/>
      <c r="BA13" s="133"/>
    </row>
    <row r="14" spans="1:53" s="544" customFormat="1" ht="15" thickBot="1">
      <c r="A14" s="533" t="s">
        <v>26</v>
      </c>
      <c r="B14" s="923">
        <f aca="true" t="shared" si="11" ref="B14:W14">B10</f>
        <v>97752242</v>
      </c>
      <c r="C14" s="534">
        <f t="shared" si="11"/>
        <v>80099740</v>
      </c>
      <c r="D14" s="535">
        <f t="shared" si="11"/>
        <v>5260716</v>
      </c>
      <c r="E14" s="536">
        <f t="shared" si="11"/>
        <v>5757367</v>
      </c>
      <c r="F14" s="535">
        <f t="shared" si="11"/>
        <v>11652550</v>
      </c>
      <c r="G14" s="536">
        <f t="shared" si="11"/>
        <v>11936374</v>
      </c>
      <c r="H14" s="535">
        <f t="shared" si="11"/>
        <v>120248414</v>
      </c>
      <c r="I14" s="536">
        <f t="shared" si="11"/>
        <v>97525277</v>
      </c>
      <c r="J14" s="535">
        <f t="shared" si="11"/>
        <v>22808216</v>
      </c>
      <c r="K14" s="536">
        <f t="shared" si="11"/>
        <v>21872586</v>
      </c>
      <c r="L14" s="535">
        <f t="shared" si="11"/>
        <v>51160297</v>
      </c>
      <c r="M14" s="536">
        <f t="shared" si="11"/>
        <v>39428225</v>
      </c>
      <c r="N14" s="535">
        <f t="shared" si="11"/>
        <v>9936005</v>
      </c>
      <c r="O14" s="536">
        <f t="shared" si="11"/>
        <v>12280623</v>
      </c>
      <c r="P14" s="535">
        <f t="shared" si="11"/>
        <v>12482384</v>
      </c>
      <c r="Q14" s="536">
        <f t="shared" si="11"/>
        <v>10484847</v>
      </c>
      <c r="R14" s="535">
        <f t="shared" si="11"/>
        <v>33247495</v>
      </c>
      <c r="S14" s="536">
        <f t="shared" si="11"/>
        <v>32195856</v>
      </c>
      <c r="T14" s="535">
        <f t="shared" si="11"/>
        <v>13221944</v>
      </c>
      <c r="U14" s="536">
        <f t="shared" si="11"/>
        <v>14802473</v>
      </c>
      <c r="V14" s="535">
        <f t="shared" si="11"/>
        <v>385834933</v>
      </c>
      <c r="W14" s="536">
        <f t="shared" si="11"/>
        <v>327068938</v>
      </c>
      <c r="X14" s="924">
        <f aca="true" t="shared" si="12" ref="X14:AC14">X10</f>
        <v>357328245</v>
      </c>
      <c r="Y14" s="718">
        <f t="shared" si="12"/>
        <v>334307038</v>
      </c>
      <c r="Z14" s="929">
        <f t="shared" si="12"/>
        <v>19586374</v>
      </c>
      <c r="AA14" s="929">
        <f t="shared" si="12"/>
        <v>18425145</v>
      </c>
      <c r="AB14" s="539">
        <f t="shared" si="12"/>
        <v>40555022.56</v>
      </c>
      <c r="AC14" s="540">
        <f t="shared" si="12"/>
        <v>33604364.29</v>
      </c>
      <c r="AD14" s="537">
        <f aca="true" t="shared" si="13" ref="AD14:AI14">AD10</f>
        <v>111002211</v>
      </c>
      <c r="AE14" s="538">
        <f t="shared" si="13"/>
        <v>103400786</v>
      </c>
      <c r="AF14" s="924">
        <f t="shared" si="13"/>
        <v>190178988</v>
      </c>
      <c r="AG14" s="718">
        <f t="shared" si="13"/>
        <v>161836470</v>
      </c>
      <c r="AH14" s="924">
        <f t="shared" si="13"/>
        <v>0</v>
      </c>
      <c r="AI14" s="718">
        <f t="shared" si="13"/>
        <v>55069552</v>
      </c>
      <c r="AJ14" s="537">
        <f aca="true" t="shared" si="14" ref="AJ14:AO14">AJ10</f>
        <v>47364506</v>
      </c>
      <c r="AK14" s="538">
        <f t="shared" si="14"/>
        <v>44409394</v>
      </c>
      <c r="AL14" s="537">
        <f t="shared" si="14"/>
        <v>0</v>
      </c>
      <c r="AM14" s="718">
        <f t="shared" si="14"/>
        <v>0</v>
      </c>
      <c r="AN14" s="838">
        <f t="shared" si="14"/>
        <v>502541682</v>
      </c>
      <c r="AO14" s="719">
        <f t="shared" si="14"/>
        <v>406347289</v>
      </c>
      <c r="AP14" s="541">
        <f aca="true" t="shared" si="15" ref="AP14:AU14">AP10</f>
        <v>20185331</v>
      </c>
      <c r="AQ14" s="934">
        <f t="shared" si="15"/>
        <v>17290545</v>
      </c>
      <c r="AR14" s="932">
        <f t="shared" si="15"/>
        <v>29986203</v>
      </c>
      <c r="AS14" s="543">
        <f t="shared" si="15"/>
        <v>23103591</v>
      </c>
      <c r="AT14" s="932">
        <f t="shared" si="15"/>
        <v>111050857</v>
      </c>
      <c r="AU14" s="543">
        <f t="shared" si="15"/>
        <v>83085079</v>
      </c>
      <c r="AV14" s="537">
        <f>SUM(B14+D14+F14+H14+J14+L14+N14+P14+R14+T14+V14+X14+Z14+AB14+AD14+AF14+AH14+AJ14+AL14+AN14+AP14+AR14+AT14)</f>
        <v>2193384615.56</v>
      </c>
      <c r="AW14" s="538">
        <f>SUM(C14+E14+G14+I14+K14+M14+O14+Q14+S14+U14+W14+Y14+AA14+AC14+AE14+AG14+AI14+AK14+AM14+AO14+AQ14+AS14+AU14)</f>
        <v>1934331559.29</v>
      </c>
      <c r="AX14" s="542">
        <f>AX10</f>
        <v>4032865548</v>
      </c>
      <c r="AY14" s="543">
        <f>AY10</f>
        <v>3793895990</v>
      </c>
      <c r="AZ14" s="537">
        <f>AV14+AX14</f>
        <v>6226250163.559999</v>
      </c>
      <c r="BA14" s="538">
        <f>AW14+AY14</f>
        <v>5728227549.29</v>
      </c>
    </row>
  </sheetData>
  <sheetProtection/>
  <mergeCells count="29">
    <mergeCell ref="AL3:AM3"/>
    <mergeCell ref="AN3:AO3"/>
    <mergeCell ref="A1:AY1"/>
    <mergeCell ref="A2:AY2"/>
    <mergeCell ref="A3:A4"/>
    <mergeCell ref="AP3:AQ3"/>
    <mergeCell ref="AX3:AY3"/>
    <mergeCell ref="N3:O3"/>
    <mergeCell ref="P3:Q3"/>
    <mergeCell ref="R3:S3"/>
    <mergeCell ref="AH3:AI3"/>
    <mergeCell ref="AJ3:AK3"/>
    <mergeCell ref="T3:U3"/>
    <mergeCell ref="V3:W3"/>
    <mergeCell ref="X3:Y3"/>
    <mergeCell ref="AF3:AG3"/>
    <mergeCell ref="AD3:AE3"/>
    <mergeCell ref="AB3:AC3"/>
    <mergeCell ref="Z3:AA3"/>
    <mergeCell ref="AZ3:BA3"/>
    <mergeCell ref="AV3:AW3"/>
    <mergeCell ref="AR3:AS3"/>
    <mergeCell ref="AT3:AU3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BA27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BF20" sqref="BF19:BF20"/>
    </sheetView>
  </sheetViews>
  <sheetFormatPr defaultColWidth="9.140625" defaultRowHeight="15"/>
  <cols>
    <col min="1" max="1" width="59.8515625" style="181" customWidth="1"/>
    <col min="2" max="31" width="12.8515625" style="181" bestFit="1" customWidth="1"/>
    <col min="32" max="32" width="9.8515625" style="181" customWidth="1"/>
    <col min="33" max="33" width="10.421875" style="181" customWidth="1"/>
    <col min="34" max="41" width="12.8515625" style="181" bestFit="1" customWidth="1"/>
    <col min="42" max="42" width="10.7109375" style="181" customWidth="1"/>
    <col min="43" max="53" width="12.8515625" style="181" bestFit="1" customWidth="1"/>
    <col min="54" max="16384" width="9.140625" style="181" customWidth="1"/>
  </cols>
  <sheetData>
    <row r="1" spans="1:51" s="229" customFormat="1" ht="14.25">
      <c r="A1" s="848" t="s">
        <v>158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  <c r="Y1" s="848"/>
      <c r="Z1" s="848"/>
      <c r="AA1" s="848"/>
      <c r="AB1" s="848"/>
      <c r="AC1" s="848"/>
      <c r="AD1" s="848"/>
      <c r="AE1" s="848"/>
      <c r="AF1" s="848"/>
      <c r="AG1" s="848"/>
      <c r="AH1" s="848"/>
      <c r="AI1" s="848"/>
      <c r="AJ1" s="848"/>
      <c r="AK1" s="848"/>
      <c r="AL1" s="848"/>
      <c r="AM1" s="848"/>
      <c r="AN1" s="848"/>
      <c r="AO1" s="848"/>
      <c r="AP1" s="848"/>
      <c r="AQ1" s="848"/>
      <c r="AR1" s="848"/>
      <c r="AS1" s="848"/>
      <c r="AT1" s="848"/>
      <c r="AU1" s="848"/>
      <c r="AV1" s="848"/>
      <c r="AW1" s="848"/>
      <c r="AX1" s="848"/>
      <c r="AY1" s="848"/>
    </row>
    <row r="2" spans="1:51" s="545" customFormat="1" ht="16.5" thickBot="1">
      <c r="A2" s="849" t="s">
        <v>59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849"/>
      <c r="AL2" s="849"/>
      <c r="AM2" s="849"/>
      <c r="AN2" s="849"/>
      <c r="AO2" s="849"/>
      <c r="AP2" s="849"/>
      <c r="AQ2" s="849"/>
      <c r="AR2" s="849"/>
      <c r="AS2" s="849"/>
      <c r="AT2" s="849"/>
      <c r="AU2" s="849"/>
      <c r="AV2" s="849"/>
      <c r="AW2" s="849"/>
      <c r="AX2" s="849"/>
      <c r="AY2" s="849"/>
    </row>
    <row r="3" spans="1:53" s="850" customFormat="1" ht="33" customHeight="1" thickBot="1">
      <c r="A3" s="888" t="s">
        <v>0</v>
      </c>
      <c r="B3" s="1632" t="s">
        <v>163</v>
      </c>
      <c r="C3" s="1633"/>
      <c r="D3" s="1632" t="s">
        <v>164</v>
      </c>
      <c r="E3" s="1633"/>
      <c r="F3" s="1632" t="s">
        <v>165</v>
      </c>
      <c r="G3" s="1636"/>
      <c r="H3" s="1632" t="s">
        <v>166</v>
      </c>
      <c r="I3" s="1636"/>
      <c r="J3" s="1632" t="s">
        <v>167</v>
      </c>
      <c r="K3" s="1633"/>
      <c r="L3" s="1632" t="s">
        <v>168</v>
      </c>
      <c r="M3" s="1636"/>
      <c r="N3" s="1632" t="s">
        <v>446</v>
      </c>
      <c r="O3" s="1636"/>
      <c r="P3" s="1632" t="s">
        <v>169</v>
      </c>
      <c r="Q3" s="1636"/>
      <c r="R3" s="1632" t="s">
        <v>170</v>
      </c>
      <c r="S3" s="1636"/>
      <c r="T3" s="1632" t="s">
        <v>171</v>
      </c>
      <c r="U3" s="1636"/>
      <c r="V3" s="1632" t="s">
        <v>172</v>
      </c>
      <c r="W3" s="1636"/>
      <c r="X3" s="1632" t="s">
        <v>173</v>
      </c>
      <c r="Y3" s="1636"/>
      <c r="Z3" s="1632" t="s">
        <v>526</v>
      </c>
      <c r="AA3" s="1636"/>
      <c r="AB3" s="1632" t="s">
        <v>174</v>
      </c>
      <c r="AC3" s="1636"/>
      <c r="AD3" s="1634" t="s">
        <v>175</v>
      </c>
      <c r="AE3" s="1635"/>
      <c r="AF3" s="1632" t="s">
        <v>176</v>
      </c>
      <c r="AG3" s="1636"/>
      <c r="AH3" s="1632" t="s">
        <v>177</v>
      </c>
      <c r="AI3" s="1636"/>
      <c r="AJ3" s="1632" t="s">
        <v>178</v>
      </c>
      <c r="AK3" s="1636"/>
      <c r="AL3" s="1634" t="s">
        <v>179</v>
      </c>
      <c r="AM3" s="1635"/>
      <c r="AN3" s="1632" t="s">
        <v>180</v>
      </c>
      <c r="AO3" s="1636"/>
      <c r="AP3" s="1632" t="s">
        <v>181</v>
      </c>
      <c r="AQ3" s="1636"/>
      <c r="AR3" s="1639" t="s">
        <v>182</v>
      </c>
      <c r="AS3" s="1640"/>
      <c r="AT3" s="1639" t="s">
        <v>183</v>
      </c>
      <c r="AU3" s="1640"/>
      <c r="AV3" s="1639" t="s">
        <v>1</v>
      </c>
      <c r="AW3" s="1642"/>
      <c r="AX3" s="1641" t="s">
        <v>184</v>
      </c>
      <c r="AY3" s="1641"/>
      <c r="AZ3" s="1637" t="s">
        <v>2</v>
      </c>
      <c r="BA3" s="1638"/>
    </row>
    <row r="4" spans="1:53" s="545" customFormat="1" ht="14.25" customHeight="1" thickBot="1">
      <c r="A4" s="889"/>
      <c r="B4" s="520" t="s">
        <v>520</v>
      </c>
      <c r="C4" s="521" t="s">
        <v>378</v>
      </c>
      <c r="D4" s="520" t="s">
        <v>520</v>
      </c>
      <c r="E4" s="521" t="s">
        <v>378</v>
      </c>
      <c r="F4" s="520" t="s">
        <v>520</v>
      </c>
      <c r="G4" s="521" t="s">
        <v>378</v>
      </c>
      <c r="H4" s="520" t="s">
        <v>520</v>
      </c>
      <c r="I4" s="521" t="s">
        <v>378</v>
      </c>
      <c r="J4" s="520" t="s">
        <v>520</v>
      </c>
      <c r="K4" s="521" t="s">
        <v>378</v>
      </c>
      <c r="L4" s="520" t="s">
        <v>520</v>
      </c>
      <c r="M4" s="521" t="s">
        <v>378</v>
      </c>
      <c r="N4" s="520" t="s">
        <v>520</v>
      </c>
      <c r="O4" s="521" t="s">
        <v>378</v>
      </c>
      <c r="P4" s="520" t="s">
        <v>520</v>
      </c>
      <c r="Q4" s="521" t="s">
        <v>378</v>
      </c>
      <c r="R4" s="520" t="s">
        <v>520</v>
      </c>
      <c r="S4" s="521" t="s">
        <v>378</v>
      </c>
      <c r="T4" s="520" t="s">
        <v>520</v>
      </c>
      <c r="U4" s="521" t="s">
        <v>378</v>
      </c>
      <c r="V4" s="520" t="s">
        <v>520</v>
      </c>
      <c r="W4" s="521" t="s">
        <v>378</v>
      </c>
      <c r="X4" s="520" t="s">
        <v>520</v>
      </c>
      <c r="Y4" s="521" t="s">
        <v>378</v>
      </c>
      <c r="Z4" s="520" t="s">
        <v>520</v>
      </c>
      <c r="AA4" s="521" t="s">
        <v>378</v>
      </c>
      <c r="AB4" s="520" t="s">
        <v>520</v>
      </c>
      <c r="AC4" s="521" t="s">
        <v>378</v>
      </c>
      <c r="AD4" s="520" t="s">
        <v>520</v>
      </c>
      <c r="AE4" s="521" t="s">
        <v>378</v>
      </c>
      <c r="AF4" s="520" t="s">
        <v>520</v>
      </c>
      <c r="AG4" s="521" t="s">
        <v>378</v>
      </c>
      <c r="AH4" s="520" t="s">
        <v>520</v>
      </c>
      <c r="AI4" s="521" t="s">
        <v>378</v>
      </c>
      <c r="AJ4" s="520" t="s">
        <v>520</v>
      </c>
      <c r="AK4" s="521" t="s">
        <v>378</v>
      </c>
      <c r="AL4" s="520" t="s">
        <v>520</v>
      </c>
      <c r="AM4" s="521" t="s">
        <v>378</v>
      </c>
      <c r="AN4" s="520" t="s">
        <v>520</v>
      </c>
      <c r="AO4" s="521" t="s">
        <v>378</v>
      </c>
      <c r="AP4" s="520" t="s">
        <v>520</v>
      </c>
      <c r="AQ4" s="521" t="s">
        <v>378</v>
      </c>
      <c r="AR4" s="520" t="s">
        <v>520</v>
      </c>
      <c r="AS4" s="521" t="s">
        <v>378</v>
      </c>
      <c r="AT4" s="520" t="s">
        <v>520</v>
      </c>
      <c r="AU4" s="521" t="s">
        <v>378</v>
      </c>
      <c r="AV4" s="520" t="s">
        <v>520</v>
      </c>
      <c r="AW4" s="521" t="s">
        <v>378</v>
      </c>
      <c r="AX4" s="520" t="s">
        <v>520</v>
      </c>
      <c r="AY4" s="521" t="s">
        <v>378</v>
      </c>
      <c r="AZ4" s="520" t="s">
        <v>520</v>
      </c>
      <c r="BA4" s="521" t="s">
        <v>378</v>
      </c>
    </row>
    <row r="5" spans="1:53" s="167" customFormat="1" ht="14.25">
      <c r="A5" s="441" t="s">
        <v>60</v>
      </c>
      <c r="B5" s="177"/>
      <c r="C5" s="174"/>
      <c r="D5" s="177"/>
      <c r="E5" s="174"/>
      <c r="F5" s="177"/>
      <c r="G5" s="178"/>
      <c r="H5" s="177"/>
      <c r="I5" s="178"/>
      <c r="J5" s="177"/>
      <c r="K5" s="174"/>
      <c r="L5" s="177"/>
      <c r="M5" s="178"/>
      <c r="N5" s="177"/>
      <c r="O5" s="178"/>
      <c r="P5" s="177"/>
      <c r="Q5" s="178"/>
      <c r="R5" s="177"/>
      <c r="S5" s="178"/>
      <c r="T5" s="177"/>
      <c r="U5" s="178"/>
      <c r="V5" s="177"/>
      <c r="W5" s="178"/>
      <c r="X5" s="177"/>
      <c r="Y5" s="178"/>
      <c r="Z5" s="177"/>
      <c r="AA5" s="178"/>
      <c r="AB5" s="177"/>
      <c r="AC5" s="178"/>
      <c r="AD5" s="177"/>
      <c r="AE5" s="178"/>
      <c r="AF5" s="177"/>
      <c r="AG5" s="178"/>
      <c r="AH5" s="177"/>
      <c r="AI5" s="178"/>
      <c r="AJ5" s="177"/>
      <c r="AK5" s="178"/>
      <c r="AL5" s="177"/>
      <c r="AM5" s="178"/>
      <c r="AN5" s="177"/>
      <c r="AO5" s="178"/>
      <c r="AP5" s="177"/>
      <c r="AQ5" s="178"/>
      <c r="AR5" s="177"/>
      <c r="AS5" s="178"/>
      <c r="AT5" s="177"/>
      <c r="AU5" s="178"/>
      <c r="AV5" s="177"/>
      <c r="AW5" s="174"/>
      <c r="AX5" s="175"/>
      <c r="AY5" s="178"/>
      <c r="AZ5" s="179"/>
      <c r="BA5" s="180"/>
    </row>
    <row r="6" spans="1:53" s="167" customFormat="1" ht="14.25">
      <c r="A6" s="182" t="s">
        <v>61</v>
      </c>
      <c r="B6" s="890">
        <v>3290589</v>
      </c>
      <c r="C6" s="124">
        <v>3119034</v>
      </c>
      <c r="D6" s="114">
        <v>30296</v>
      </c>
      <c r="E6" s="116">
        <v>25693</v>
      </c>
      <c r="F6" s="114">
        <v>180232</v>
      </c>
      <c r="G6" s="125">
        <v>147404</v>
      </c>
      <c r="H6" s="114">
        <v>3846753</v>
      </c>
      <c r="I6" s="125">
        <v>2419502</v>
      </c>
      <c r="J6" s="114">
        <v>916969</v>
      </c>
      <c r="K6" s="116">
        <v>1302893</v>
      </c>
      <c r="L6" s="114">
        <v>2023654</v>
      </c>
      <c r="M6" s="125">
        <v>1563594</v>
      </c>
      <c r="N6" s="114">
        <v>123342</v>
      </c>
      <c r="O6" s="125">
        <v>185021</v>
      </c>
      <c r="P6" s="114">
        <v>764617</v>
      </c>
      <c r="Q6" s="125">
        <v>541696</v>
      </c>
      <c r="R6" s="114">
        <v>1295966</v>
      </c>
      <c r="S6" s="125">
        <v>1452144</v>
      </c>
      <c r="T6" s="114">
        <v>255731</v>
      </c>
      <c r="U6" s="125">
        <v>393959</v>
      </c>
      <c r="V6" s="114">
        <v>12661184</v>
      </c>
      <c r="W6" s="125">
        <v>10820454</v>
      </c>
      <c r="X6" s="114">
        <v>9306110</v>
      </c>
      <c r="Y6" s="125">
        <v>10766406</v>
      </c>
      <c r="Z6" s="885">
        <v>380026</v>
      </c>
      <c r="AA6" s="546">
        <v>461019</v>
      </c>
      <c r="AB6" s="114">
        <v>1212897.99</v>
      </c>
      <c r="AC6" s="125">
        <v>1061778.18</v>
      </c>
      <c r="AD6" s="114">
        <v>2632379</v>
      </c>
      <c r="AE6" s="125">
        <v>3122264</v>
      </c>
      <c r="AF6" s="114">
        <v>8448779</v>
      </c>
      <c r="AG6" s="125">
        <v>7036947</v>
      </c>
      <c r="AH6" s="114"/>
      <c r="AI6" s="125">
        <v>1688455</v>
      </c>
      <c r="AJ6" s="114">
        <v>674466</v>
      </c>
      <c r="AK6" s="125">
        <v>1014516</v>
      </c>
      <c r="AL6" s="114"/>
      <c r="AM6" s="125"/>
      <c r="AN6" s="881">
        <v>8635714</v>
      </c>
      <c r="AO6" s="182">
        <v>8238894</v>
      </c>
      <c r="AP6" s="879">
        <v>816227</v>
      </c>
      <c r="AQ6" s="140">
        <v>780649</v>
      </c>
      <c r="AR6" s="877">
        <v>1007888</v>
      </c>
      <c r="AS6" s="141">
        <v>822488</v>
      </c>
      <c r="AT6" s="114">
        <v>7810835</v>
      </c>
      <c r="AU6" s="125">
        <v>6320695</v>
      </c>
      <c r="AV6" s="132">
        <f aca="true" t="shared" si="0" ref="AV6:AW12">SUM(B6+D6+F6+H6+J6+L6+N6+P6+R6+T6+V6+X6+Z6+AB6+AD6+AF6+AH6+AJ6+AL6+AN6+AP6+AR6+AT6)</f>
        <v>66314654.99</v>
      </c>
      <c r="AW6" s="143">
        <f t="shared" si="0"/>
        <v>63285505.18</v>
      </c>
      <c r="AX6" s="875">
        <v>89698314</v>
      </c>
      <c r="AY6" s="141">
        <v>97111653</v>
      </c>
      <c r="AZ6" s="132">
        <f aca="true" t="shared" si="1" ref="AZ6:BA12">AV6+AX6</f>
        <v>156012968.99</v>
      </c>
      <c r="BA6" s="133">
        <f t="shared" si="1"/>
        <v>160397158.18</v>
      </c>
    </row>
    <row r="7" spans="1:53" s="167" customFormat="1" ht="14.25">
      <c r="A7" s="182" t="s">
        <v>62</v>
      </c>
      <c r="B7" s="890">
        <v>1640523</v>
      </c>
      <c r="C7" s="124">
        <v>1337307</v>
      </c>
      <c r="D7" s="114">
        <v>20183</v>
      </c>
      <c r="E7" s="116">
        <v>20519</v>
      </c>
      <c r="F7" s="114">
        <v>59700</v>
      </c>
      <c r="G7" s="125">
        <v>74536</v>
      </c>
      <c r="H7" s="114">
        <v>1015890</v>
      </c>
      <c r="I7" s="125">
        <v>790404</v>
      </c>
      <c r="J7" s="114">
        <v>552295</v>
      </c>
      <c r="K7" s="116">
        <v>493817</v>
      </c>
      <c r="L7" s="114">
        <v>779572</v>
      </c>
      <c r="M7" s="125">
        <v>630417</v>
      </c>
      <c r="N7" s="114">
        <v>119127</v>
      </c>
      <c r="O7" s="125">
        <v>131291</v>
      </c>
      <c r="P7" s="114">
        <v>204300</v>
      </c>
      <c r="Q7" s="125">
        <v>176847</v>
      </c>
      <c r="R7" s="114">
        <v>595989</v>
      </c>
      <c r="S7" s="125">
        <v>440907</v>
      </c>
      <c r="T7" s="114">
        <v>106293</v>
      </c>
      <c r="U7" s="125">
        <v>114309</v>
      </c>
      <c r="V7" s="114">
        <v>2770799</v>
      </c>
      <c r="W7" s="125">
        <v>2405302</v>
      </c>
      <c r="X7" s="114">
        <v>3983250</v>
      </c>
      <c r="Y7" s="125">
        <v>3817250</v>
      </c>
      <c r="Z7" s="885">
        <v>205171</v>
      </c>
      <c r="AA7" s="546">
        <v>216888</v>
      </c>
      <c r="AB7" s="114">
        <v>411088.63</v>
      </c>
      <c r="AC7" s="125">
        <v>343983.33</v>
      </c>
      <c r="AD7" s="114">
        <v>1855435</v>
      </c>
      <c r="AE7" s="125">
        <v>1666257</v>
      </c>
      <c r="AF7" s="114">
        <v>3257710</v>
      </c>
      <c r="AG7" s="125">
        <v>2779327</v>
      </c>
      <c r="AH7" s="114"/>
      <c r="AI7" s="125">
        <v>944542</v>
      </c>
      <c r="AJ7" s="114">
        <v>758911</v>
      </c>
      <c r="AK7" s="125">
        <v>697599</v>
      </c>
      <c r="AL7" s="114"/>
      <c r="AM7" s="125"/>
      <c r="AN7" s="881">
        <v>7667839</v>
      </c>
      <c r="AO7" s="182">
        <v>6443915</v>
      </c>
      <c r="AP7" s="879">
        <v>337144</v>
      </c>
      <c r="AQ7" s="140">
        <v>315157</v>
      </c>
      <c r="AR7" s="877">
        <v>694963</v>
      </c>
      <c r="AS7" s="141">
        <v>632077</v>
      </c>
      <c r="AT7" s="114">
        <v>2056557</v>
      </c>
      <c r="AU7" s="125">
        <v>1485669</v>
      </c>
      <c r="AV7" s="132">
        <f t="shared" si="0"/>
        <v>29092739.630000003</v>
      </c>
      <c r="AW7" s="143">
        <f t="shared" si="0"/>
        <v>25958320.33</v>
      </c>
      <c r="AX7" s="875">
        <v>114347428</v>
      </c>
      <c r="AY7" s="141">
        <v>10340913</v>
      </c>
      <c r="AZ7" s="132">
        <f t="shared" si="1"/>
        <v>143440167.63</v>
      </c>
      <c r="BA7" s="133">
        <f t="shared" si="1"/>
        <v>36299233.33</v>
      </c>
    </row>
    <row r="8" spans="1:53" s="167" customFormat="1" ht="14.25">
      <c r="A8" s="182" t="s">
        <v>63</v>
      </c>
      <c r="B8" s="890">
        <v>87858</v>
      </c>
      <c r="C8" s="124">
        <v>85587</v>
      </c>
      <c r="D8" s="114">
        <v>136</v>
      </c>
      <c r="E8" s="116">
        <v>7</v>
      </c>
      <c r="F8" s="114">
        <v>5</v>
      </c>
      <c r="G8" s="125">
        <v>10</v>
      </c>
      <c r="H8" s="114">
        <v>565433</v>
      </c>
      <c r="I8" s="125">
        <v>698283</v>
      </c>
      <c r="J8" s="114">
        <v>17158</v>
      </c>
      <c r="K8" s="116">
        <v>9719</v>
      </c>
      <c r="L8" s="114">
        <v>133257</v>
      </c>
      <c r="M8" s="125">
        <v>51341</v>
      </c>
      <c r="N8" s="114">
        <v>48607</v>
      </c>
      <c r="O8" s="125">
        <v>75500</v>
      </c>
      <c r="P8" s="114">
        <v>4567</v>
      </c>
      <c r="Q8" s="125">
        <v>4623</v>
      </c>
      <c r="R8" s="114">
        <v>5962</v>
      </c>
      <c r="S8" s="125">
        <v>10309</v>
      </c>
      <c r="T8" s="114">
        <v>39810</v>
      </c>
      <c r="U8" s="125">
        <v>5125</v>
      </c>
      <c r="V8" s="114">
        <v>1330208</v>
      </c>
      <c r="W8" s="125">
        <v>1411923</v>
      </c>
      <c r="X8" s="114">
        <v>1010682</v>
      </c>
      <c r="Y8" s="125">
        <v>630148</v>
      </c>
      <c r="Z8" s="885">
        <v>80561</v>
      </c>
      <c r="AA8" s="546">
        <v>79360</v>
      </c>
      <c r="AB8" s="114">
        <v>89617.37</v>
      </c>
      <c r="AC8" s="125">
        <v>98708.94</v>
      </c>
      <c r="AD8" s="114">
        <v>529918</v>
      </c>
      <c r="AE8" s="125">
        <v>425100</v>
      </c>
      <c r="AF8" s="114">
        <v>285394</v>
      </c>
      <c r="AG8" s="125">
        <v>165387</v>
      </c>
      <c r="AH8" s="114"/>
      <c r="AI8" s="125">
        <v>192640</v>
      </c>
      <c r="AJ8" s="114">
        <v>3007</v>
      </c>
      <c r="AK8" s="125">
        <v>4297</v>
      </c>
      <c r="AL8" s="114"/>
      <c r="AM8" s="125"/>
      <c r="AN8" s="881">
        <v>1121788</v>
      </c>
      <c r="AO8" s="182">
        <v>979408</v>
      </c>
      <c r="AP8" s="879">
        <v>40475</v>
      </c>
      <c r="AQ8" s="140">
        <v>6729</v>
      </c>
      <c r="AR8" s="877">
        <v>119125</v>
      </c>
      <c r="AS8" s="141">
        <v>64429</v>
      </c>
      <c r="AT8" s="114">
        <v>109169</v>
      </c>
      <c r="AU8" s="125">
        <v>77272</v>
      </c>
      <c r="AV8" s="132">
        <f t="shared" si="0"/>
        <v>5622737.37</v>
      </c>
      <c r="AW8" s="143">
        <f t="shared" si="0"/>
        <v>5075905.9399999995</v>
      </c>
      <c r="AX8" s="875">
        <v>5646746</v>
      </c>
      <c r="AY8" s="141">
        <v>4407612</v>
      </c>
      <c r="AZ8" s="132">
        <f t="shared" si="1"/>
        <v>11269483.370000001</v>
      </c>
      <c r="BA8" s="133">
        <f t="shared" si="1"/>
        <v>9483517.94</v>
      </c>
    </row>
    <row r="9" spans="1:53" s="844" customFormat="1" ht="14.25">
      <c r="A9" s="839" t="s">
        <v>54</v>
      </c>
      <c r="B9" s="830">
        <f>SUM(B6:B8)</f>
        <v>5018970</v>
      </c>
      <c r="C9" s="845">
        <f>SUM(C6:C8)</f>
        <v>4541928</v>
      </c>
      <c r="D9" s="834">
        <f>SUM(D6:D8)</f>
        <v>50615</v>
      </c>
      <c r="E9" s="841">
        <f>SUM(E6:E8)</f>
        <v>46219</v>
      </c>
      <c r="F9" s="834">
        <f aca="true" t="shared" si="2" ref="F9:M9">SUM(F6:F8)</f>
        <v>239937</v>
      </c>
      <c r="G9" s="842">
        <f t="shared" si="2"/>
        <v>221950</v>
      </c>
      <c r="H9" s="834">
        <f t="shared" si="2"/>
        <v>5428076</v>
      </c>
      <c r="I9" s="842">
        <f t="shared" si="2"/>
        <v>3908189</v>
      </c>
      <c r="J9" s="834">
        <f t="shared" si="2"/>
        <v>1486422</v>
      </c>
      <c r="K9" s="841">
        <f t="shared" si="2"/>
        <v>1806429</v>
      </c>
      <c r="L9" s="834">
        <f t="shared" si="2"/>
        <v>2936483</v>
      </c>
      <c r="M9" s="842">
        <f t="shared" si="2"/>
        <v>2245352</v>
      </c>
      <c r="N9" s="834">
        <f aca="true" t="shared" si="3" ref="N9:W9">SUM(N6:N8)</f>
        <v>291076</v>
      </c>
      <c r="O9" s="842">
        <f t="shared" si="3"/>
        <v>391812</v>
      </c>
      <c r="P9" s="834">
        <f t="shared" si="3"/>
        <v>973484</v>
      </c>
      <c r="Q9" s="842">
        <f t="shared" si="3"/>
        <v>723166</v>
      </c>
      <c r="R9" s="834">
        <f t="shared" si="3"/>
        <v>1897917</v>
      </c>
      <c r="S9" s="842">
        <f t="shared" si="3"/>
        <v>1903360</v>
      </c>
      <c r="T9" s="834">
        <f t="shared" si="3"/>
        <v>401834</v>
      </c>
      <c r="U9" s="842">
        <f t="shared" si="3"/>
        <v>513393</v>
      </c>
      <c r="V9" s="834">
        <f t="shared" si="3"/>
        <v>16762191</v>
      </c>
      <c r="W9" s="842">
        <f t="shared" si="3"/>
        <v>14637679</v>
      </c>
      <c r="X9" s="834">
        <f aca="true" t="shared" si="4" ref="X9:AP9">SUM(X6:X8)</f>
        <v>14300042</v>
      </c>
      <c r="Y9" s="842">
        <f t="shared" si="4"/>
        <v>15213804</v>
      </c>
      <c r="Z9" s="834">
        <f t="shared" si="4"/>
        <v>665758</v>
      </c>
      <c r="AA9" s="842">
        <f t="shared" si="4"/>
        <v>757267</v>
      </c>
      <c r="AB9" s="834">
        <f t="shared" si="4"/>
        <v>1713603.9900000002</v>
      </c>
      <c r="AC9" s="842">
        <f t="shared" si="4"/>
        <v>1504470.45</v>
      </c>
      <c r="AD9" s="834">
        <f t="shared" si="4"/>
        <v>5017732</v>
      </c>
      <c r="AE9" s="842">
        <f t="shared" si="4"/>
        <v>5213621</v>
      </c>
      <c r="AF9" s="834">
        <f t="shared" si="4"/>
        <v>11991883</v>
      </c>
      <c r="AG9" s="842">
        <f t="shared" si="4"/>
        <v>9981661</v>
      </c>
      <c r="AH9" s="834">
        <f t="shared" si="4"/>
        <v>0</v>
      </c>
      <c r="AI9" s="842">
        <f t="shared" si="4"/>
        <v>2825637</v>
      </c>
      <c r="AJ9" s="834">
        <f t="shared" si="4"/>
        <v>1436384</v>
      </c>
      <c r="AK9" s="842">
        <f t="shared" si="4"/>
        <v>1716412</v>
      </c>
      <c r="AL9" s="834">
        <f t="shared" si="4"/>
        <v>0</v>
      </c>
      <c r="AM9" s="842">
        <f t="shared" si="4"/>
        <v>0</v>
      </c>
      <c r="AN9" s="834">
        <f t="shared" si="4"/>
        <v>17425341</v>
      </c>
      <c r="AO9" s="842">
        <f t="shared" si="4"/>
        <v>15662217</v>
      </c>
      <c r="AP9" s="834">
        <f t="shared" si="4"/>
        <v>1193846</v>
      </c>
      <c r="AQ9" s="839">
        <f>SUM(AQ6:AQ8)</f>
        <v>1102535</v>
      </c>
      <c r="AR9" s="834">
        <f>SUM(AR6:AR8)</f>
        <v>1821976</v>
      </c>
      <c r="AS9" s="839">
        <f>SUM(AS6:AS8)</f>
        <v>1518994</v>
      </c>
      <c r="AT9" s="834">
        <f>SUM(AT6:AT8)</f>
        <v>9976561</v>
      </c>
      <c r="AU9" s="839">
        <f>SUM(AU6:AU8)</f>
        <v>7883636</v>
      </c>
      <c r="AV9" s="834">
        <f t="shared" si="0"/>
        <v>101030131.99000001</v>
      </c>
      <c r="AW9" s="841">
        <f t="shared" si="0"/>
        <v>94319731.45</v>
      </c>
      <c r="AX9" s="846">
        <f>SUM(AX6:AX8)</f>
        <v>209692488</v>
      </c>
      <c r="AY9" s="843">
        <f>SUM(AY6:AY8)</f>
        <v>111860178</v>
      </c>
      <c r="AZ9" s="834">
        <f t="shared" si="1"/>
        <v>310722619.99</v>
      </c>
      <c r="BA9" s="835">
        <f t="shared" si="1"/>
        <v>206179909.45</v>
      </c>
    </row>
    <row r="10" spans="1:53" s="167" customFormat="1" ht="14.25">
      <c r="A10" s="182" t="s">
        <v>64</v>
      </c>
      <c r="B10" s="891"/>
      <c r="C10" s="893"/>
      <c r="D10" s="132"/>
      <c r="E10" s="136"/>
      <c r="F10" s="132"/>
      <c r="G10" s="137"/>
      <c r="H10" s="132"/>
      <c r="I10" s="137"/>
      <c r="J10" s="132"/>
      <c r="K10" s="136"/>
      <c r="L10" s="132"/>
      <c r="M10" s="137"/>
      <c r="N10" s="132"/>
      <c r="O10" s="137"/>
      <c r="P10" s="132"/>
      <c r="Q10" s="137"/>
      <c r="R10" s="132"/>
      <c r="S10" s="137"/>
      <c r="T10" s="132"/>
      <c r="U10" s="137"/>
      <c r="V10" s="132"/>
      <c r="W10" s="137"/>
      <c r="X10" s="132"/>
      <c r="Y10" s="137"/>
      <c r="Z10" s="885"/>
      <c r="AA10" s="546"/>
      <c r="AB10" s="132"/>
      <c r="AC10" s="137"/>
      <c r="AD10" s="884"/>
      <c r="AE10" s="547"/>
      <c r="AF10" s="132"/>
      <c r="AG10" s="137"/>
      <c r="AH10" s="132"/>
      <c r="AI10" s="137"/>
      <c r="AJ10" s="132"/>
      <c r="AK10" s="137"/>
      <c r="AL10" s="114"/>
      <c r="AM10" s="125"/>
      <c r="AN10" s="114"/>
      <c r="AO10" s="125"/>
      <c r="AP10" s="879"/>
      <c r="AQ10" s="140"/>
      <c r="AR10" s="877"/>
      <c r="AS10" s="141"/>
      <c r="AT10" s="132"/>
      <c r="AU10" s="137"/>
      <c r="AV10" s="132">
        <f t="shared" si="0"/>
        <v>0</v>
      </c>
      <c r="AW10" s="143">
        <f t="shared" si="0"/>
        <v>0</v>
      </c>
      <c r="AX10" s="142"/>
      <c r="AY10" s="137"/>
      <c r="AZ10" s="132">
        <f t="shared" si="1"/>
        <v>0</v>
      </c>
      <c r="BA10" s="133">
        <f t="shared" si="1"/>
        <v>0</v>
      </c>
    </row>
    <row r="11" spans="1:53" s="167" customFormat="1" ht="14.25">
      <c r="A11" s="182" t="s">
        <v>65</v>
      </c>
      <c r="B11" s="890"/>
      <c r="C11" s="124"/>
      <c r="D11" s="114"/>
      <c r="E11" s="116"/>
      <c r="F11" s="114"/>
      <c r="G11" s="125"/>
      <c r="H11" s="114">
        <v>-366</v>
      </c>
      <c r="I11" s="125">
        <v>-5781</v>
      </c>
      <c r="J11" s="114"/>
      <c r="K11" s="116"/>
      <c r="L11" s="114"/>
      <c r="M11" s="125"/>
      <c r="N11" s="114"/>
      <c r="O11" s="125"/>
      <c r="P11" s="114"/>
      <c r="Q11" s="125"/>
      <c r="R11" s="114"/>
      <c r="S11" s="125"/>
      <c r="T11" s="114"/>
      <c r="U11" s="125"/>
      <c r="V11" s="114"/>
      <c r="W11" s="125"/>
      <c r="X11" s="114"/>
      <c r="Y11" s="125"/>
      <c r="Z11" s="114"/>
      <c r="AA11" s="125"/>
      <c r="AB11" s="114"/>
      <c r="AC11" s="125"/>
      <c r="AD11" s="114"/>
      <c r="AE11" s="125"/>
      <c r="AF11" s="114"/>
      <c r="AG11" s="125"/>
      <c r="AH11" s="114"/>
      <c r="AI11" s="125"/>
      <c r="AJ11" s="114"/>
      <c r="AK11" s="125"/>
      <c r="AL11" s="114"/>
      <c r="AM11" s="125"/>
      <c r="AN11" s="114"/>
      <c r="AO11" s="125"/>
      <c r="AP11" s="879"/>
      <c r="AQ11" s="140"/>
      <c r="AR11" s="877"/>
      <c r="AS11" s="141"/>
      <c r="AT11" s="114">
        <v>2897</v>
      </c>
      <c r="AU11" s="125">
        <v>-3938</v>
      </c>
      <c r="AV11" s="132">
        <f t="shared" si="0"/>
        <v>2531</v>
      </c>
      <c r="AW11" s="143">
        <f t="shared" si="0"/>
        <v>-9719</v>
      </c>
      <c r="AX11" s="875">
        <v>-7218</v>
      </c>
      <c r="AY11" s="141">
        <v>-421198</v>
      </c>
      <c r="AZ11" s="132">
        <f t="shared" si="1"/>
        <v>-4687</v>
      </c>
      <c r="BA11" s="133">
        <f t="shared" si="1"/>
        <v>-430917</v>
      </c>
    </row>
    <row r="12" spans="1:53" s="844" customFormat="1" ht="14.25">
      <c r="A12" s="839" t="s">
        <v>383</v>
      </c>
      <c r="B12" s="830">
        <f aca="true" t="shared" si="5" ref="B12:AE12">B9</f>
        <v>5018970</v>
      </c>
      <c r="C12" s="845">
        <f t="shared" si="5"/>
        <v>4541928</v>
      </c>
      <c r="D12" s="830">
        <f t="shared" si="5"/>
        <v>50615</v>
      </c>
      <c r="E12" s="845">
        <f t="shared" si="5"/>
        <v>46219</v>
      </c>
      <c r="F12" s="830">
        <f t="shared" si="5"/>
        <v>239937</v>
      </c>
      <c r="G12" s="840">
        <f t="shared" si="5"/>
        <v>221950</v>
      </c>
      <c r="H12" s="830">
        <f>H9+H11</f>
        <v>5427710</v>
      </c>
      <c r="I12" s="840">
        <f t="shared" si="5"/>
        <v>3908189</v>
      </c>
      <c r="J12" s="830">
        <f t="shared" si="5"/>
        <v>1486422</v>
      </c>
      <c r="K12" s="845">
        <f t="shared" si="5"/>
        <v>1806429</v>
      </c>
      <c r="L12" s="830">
        <f t="shared" si="5"/>
        <v>2936483</v>
      </c>
      <c r="M12" s="840">
        <f t="shared" si="5"/>
        <v>2245352</v>
      </c>
      <c r="N12" s="830">
        <f t="shared" si="5"/>
        <v>291076</v>
      </c>
      <c r="O12" s="840">
        <f t="shared" si="5"/>
        <v>391812</v>
      </c>
      <c r="P12" s="830">
        <f t="shared" si="5"/>
        <v>973484</v>
      </c>
      <c r="Q12" s="840">
        <f t="shared" si="5"/>
        <v>723166</v>
      </c>
      <c r="R12" s="830">
        <f t="shared" si="5"/>
        <v>1897917</v>
      </c>
      <c r="S12" s="840">
        <f t="shared" si="5"/>
        <v>1903360</v>
      </c>
      <c r="T12" s="830">
        <f t="shared" si="5"/>
        <v>401834</v>
      </c>
      <c r="U12" s="840">
        <f t="shared" si="5"/>
        <v>513393</v>
      </c>
      <c r="V12" s="830">
        <f t="shared" si="5"/>
        <v>16762191</v>
      </c>
      <c r="W12" s="840">
        <f t="shared" si="5"/>
        <v>14637679</v>
      </c>
      <c r="X12" s="830">
        <f t="shared" si="5"/>
        <v>14300042</v>
      </c>
      <c r="Y12" s="840">
        <f t="shared" si="5"/>
        <v>15213804</v>
      </c>
      <c r="Z12" s="830">
        <f t="shared" si="5"/>
        <v>665758</v>
      </c>
      <c r="AA12" s="840">
        <f t="shared" si="5"/>
        <v>757267</v>
      </c>
      <c r="AB12" s="830">
        <f t="shared" si="5"/>
        <v>1713603.9900000002</v>
      </c>
      <c r="AC12" s="840">
        <f t="shared" si="5"/>
        <v>1504470.45</v>
      </c>
      <c r="AD12" s="830">
        <f t="shared" si="5"/>
        <v>5017732</v>
      </c>
      <c r="AE12" s="840">
        <f t="shared" si="5"/>
        <v>5213621</v>
      </c>
      <c r="AF12" s="834">
        <f>SUM(AF9:AF11)</f>
        <v>11991883</v>
      </c>
      <c r="AG12" s="842">
        <f>AG9</f>
        <v>9981661</v>
      </c>
      <c r="AH12" s="834">
        <f>AH9</f>
        <v>0</v>
      </c>
      <c r="AI12" s="883">
        <f>AI9</f>
        <v>2825637</v>
      </c>
      <c r="AJ12" s="834">
        <f>AJ9</f>
        <v>1436384</v>
      </c>
      <c r="AK12" s="842">
        <v>1716412</v>
      </c>
      <c r="AL12" s="834"/>
      <c r="AM12" s="842"/>
      <c r="AN12" s="834">
        <f aca="true" t="shared" si="6" ref="AN12:AS12">AN9</f>
        <v>17425341</v>
      </c>
      <c r="AO12" s="839">
        <f t="shared" si="6"/>
        <v>15662217</v>
      </c>
      <c r="AP12" s="834">
        <f t="shared" si="6"/>
        <v>1193846</v>
      </c>
      <c r="AQ12" s="839">
        <f t="shared" si="6"/>
        <v>1102535</v>
      </c>
      <c r="AR12" s="834">
        <f t="shared" si="6"/>
        <v>1821976</v>
      </c>
      <c r="AS12" s="839">
        <f t="shared" si="6"/>
        <v>1518994</v>
      </c>
      <c r="AT12" s="834">
        <f>AT9-AT11</f>
        <v>9973664</v>
      </c>
      <c r="AU12" s="839">
        <f>AU9+AU11</f>
        <v>7879698</v>
      </c>
      <c r="AV12" s="834">
        <f t="shared" si="0"/>
        <v>101026868.99000001</v>
      </c>
      <c r="AW12" s="841">
        <f t="shared" si="0"/>
        <v>94315793.45</v>
      </c>
      <c r="AX12" s="846">
        <f>SUM(AX9:AX11)</f>
        <v>209685270</v>
      </c>
      <c r="AY12" s="847">
        <f>SUM(AY9:AY11)</f>
        <v>111438980</v>
      </c>
      <c r="AZ12" s="834">
        <f t="shared" si="1"/>
        <v>310712138.99</v>
      </c>
      <c r="BA12" s="835">
        <f t="shared" si="1"/>
        <v>205754773.45</v>
      </c>
    </row>
    <row r="13" spans="1:53" s="844" customFormat="1" ht="14.25">
      <c r="A13" s="839" t="s">
        <v>384</v>
      </c>
      <c r="B13" s="830">
        <v>409265</v>
      </c>
      <c r="C13" s="828">
        <v>282448</v>
      </c>
      <c r="D13" s="830"/>
      <c r="E13" s="828"/>
      <c r="F13" s="830">
        <v>11704</v>
      </c>
      <c r="G13" s="829">
        <v>15307</v>
      </c>
      <c r="H13" s="830">
        <v>370999</v>
      </c>
      <c r="I13" s="829">
        <v>286046</v>
      </c>
      <c r="J13" s="830">
        <v>76269</v>
      </c>
      <c r="K13" s="828">
        <v>89611</v>
      </c>
      <c r="L13" s="830"/>
      <c r="M13" s="829"/>
      <c r="N13" s="830">
        <v>3218</v>
      </c>
      <c r="O13" s="829">
        <v>4224</v>
      </c>
      <c r="P13" s="830">
        <v>86772</v>
      </c>
      <c r="Q13" s="829">
        <v>66444</v>
      </c>
      <c r="R13" s="830">
        <v>222326</v>
      </c>
      <c r="S13" s="829">
        <v>252510</v>
      </c>
      <c r="T13" s="830">
        <v>14537</v>
      </c>
      <c r="U13" s="829">
        <v>18729</v>
      </c>
      <c r="V13" s="830">
        <v>341794</v>
      </c>
      <c r="W13" s="829">
        <v>274141</v>
      </c>
      <c r="X13" s="830">
        <v>702137</v>
      </c>
      <c r="Y13" s="829">
        <v>646440</v>
      </c>
      <c r="Z13" s="830">
        <v>5092</v>
      </c>
      <c r="AA13" s="829">
        <v>3615</v>
      </c>
      <c r="AB13" s="830">
        <v>80</v>
      </c>
      <c r="AC13" s="829">
        <v>1761.75</v>
      </c>
      <c r="AD13" s="830">
        <v>212319</v>
      </c>
      <c r="AE13" s="829">
        <v>285901</v>
      </c>
      <c r="AF13" s="834">
        <v>278217</v>
      </c>
      <c r="AG13" s="842">
        <v>262752</v>
      </c>
      <c r="AH13" s="834"/>
      <c r="AI13" s="842">
        <v>10831</v>
      </c>
      <c r="AJ13" s="834">
        <v>54884</v>
      </c>
      <c r="AK13" s="842">
        <v>110128</v>
      </c>
      <c r="AL13" s="834"/>
      <c r="AM13" s="842"/>
      <c r="AN13" s="834">
        <v>362464</v>
      </c>
      <c r="AO13" s="839">
        <v>587175</v>
      </c>
      <c r="AP13" s="834">
        <v>35220</v>
      </c>
      <c r="AQ13" s="839">
        <v>20208</v>
      </c>
      <c r="AR13" s="834"/>
      <c r="AS13" s="839"/>
      <c r="AT13" s="834">
        <v>598683</v>
      </c>
      <c r="AU13" s="839">
        <v>508397</v>
      </c>
      <c r="AV13" s="834"/>
      <c r="AW13" s="841"/>
      <c r="AX13" s="846">
        <v>12013900</v>
      </c>
      <c r="AY13" s="847">
        <v>8880423</v>
      </c>
      <c r="AZ13" s="834"/>
      <c r="BA13" s="835"/>
    </row>
    <row r="14" spans="1:53" s="844" customFormat="1" ht="14.25">
      <c r="A14" s="839" t="s">
        <v>382</v>
      </c>
      <c r="B14" s="830">
        <v>5428235</v>
      </c>
      <c r="C14" s="828">
        <v>4824376</v>
      </c>
      <c r="D14" s="830"/>
      <c r="E14" s="828"/>
      <c r="F14" s="830">
        <v>251641</v>
      </c>
      <c r="G14" s="829">
        <f>G12+G13</f>
        <v>237257</v>
      </c>
      <c r="H14" s="830">
        <v>5798709</v>
      </c>
      <c r="I14" s="829">
        <v>3908189</v>
      </c>
      <c r="J14" s="830">
        <f>J12+J13</f>
        <v>1562691</v>
      </c>
      <c r="K14" s="828">
        <v>1896040</v>
      </c>
      <c r="L14" s="830"/>
      <c r="M14" s="829"/>
      <c r="N14" s="830">
        <f>N12+N13</f>
        <v>294294</v>
      </c>
      <c r="O14" s="829">
        <v>396036</v>
      </c>
      <c r="P14" s="830">
        <v>1060256</v>
      </c>
      <c r="Q14" s="829">
        <v>789610</v>
      </c>
      <c r="R14" s="830">
        <v>2120244</v>
      </c>
      <c r="S14" s="829">
        <v>2155870</v>
      </c>
      <c r="T14" s="830">
        <f>T12+T13</f>
        <v>416371</v>
      </c>
      <c r="U14" s="829">
        <v>532122</v>
      </c>
      <c r="V14" s="830">
        <f>V12+V13</f>
        <v>17103985</v>
      </c>
      <c r="W14" s="829">
        <v>14911820</v>
      </c>
      <c r="X14" s="830">
        <f>X12+X13</f>
        <v>15002179</v>
      </c>
      <c r="Y14" s="829">
        <f>Y12+Y13</f>
        <v>15860244</v>
      </c>
      <c r="Z14" s="830">
        <v>670850</v>
      </c>
      <c r="AA14" s="829">
        <v>760882</v>
      </c>
      <c r="AB14" s="830">
        <f>AB12+AB13</f>
        <v>1713683.9900000002</v>
      </c>
      <c r="AC14" s="829">
        <v>1506232.2</v>
      </c>
      <c r="AD14" s="830">
        <v>5230051</v>
      </c>
      <c r="AE14" s="829">
        <v>5499522</v>
      </c>
      <c r="AF14" s="834">
        <f>AF12+AF13</f>
        <v>12270100</v>
      </c>
      <c r="AG14" s="842">
        <f>AG12+AG13</f>
        <v>10244413</v>
      </c>
      <c r="AH14" s="834"/>
      <c r="AI14" s="842">
        <v>2836468</v>
      </c>
      <c r="AJ14" s="834">
        <f>AJ12+AJ13</f>
        <v>1491268</v>
      </c>
      <c r="AK14" s="842">
        <v>1826540</v>
      </c>
      <c r="AL14" s="834"/>
      <c r="AM14" s="842"/>
      <c r="AN14" s="834">
        <f>AN12+AN13</f>
        <v>17787805</v>
      </c>
      <c r="AO14" s="839">
        <f>AO12+AO13</f>
        <v>16249392</v>
      </c>
      <c r="AP14" s="834">
        <v>1229066</v>
      </c>
      <c r="AQ14" s="839">
        <v>1122742</v>
      </c>
      <c r="AR14" s="834">
        <f>AR12</f>
        <v>1821976</v>
      </c>
      <c r="AS14" s="839">
        <f>AS12</f>
        <v>1518994</v>
      </c>
      <c r="AT14" s="834">
        <f>AT12+AT13</f>
        <v>10572347</v>
      </c>
      <c r="AU14" s="839">
        <v>8388095</v>
      </c>
      <c r="AV14" s="834"/>
      <c r="AW14" s="841"/>
      <c r="AX14" s="846">
        <f>AX12+AX13</f>
        <v>221699170</v>
      </c>
      <c r="AY14" s="847">
        <f>AY12+AY13</f>
        <v>120319403</v>
      </c>
      <c r="AZ14" s="834"/>
      <c r="BA14" s="835"/>
    </row>
    <row r="15" spans="1:53" s="167" customFormat="1" ht="14.25">
      <c r="A15" s="183" t="s">
        <v>66</v>
      </c>
      <c r="B15" s="890"/>
      <c r="C15" s="124"/>
      <c r="D15" s="114"/>
      <c r="E15" s="116"/>
      <c r="F15" s="114"/>
      <c r="G15" s="125"/>
      <c r="H15" s="114"/>
      <c r="I15" s="125"/>
      <c r="J15" s="114"/>
      <c r="K15" s="116"/>
      <c r="L15" s="114"/>
      <c r="M15" s="125"/>
      <c r="N15" s="114"/>
      <c r="O15" s="125"/>
      <c r="P15" s="114"/>
      <c r="Q15" s="125"/>
      <c r="R15" s="114"/>
      <c r="S15" s="125"/>
      <c r="T15" s="114"/>
      <c r="U15" s="125"/>
      <c r="V15" s="114"/>
      <c r="W15" s="125"/>
      <c r="X15" s="114"/>
      <c r="Y15" s="125"/>
      <c r="Z15" s="114"/>
      <c r="AA15" s="125"/>
      <c r="AB15" s="114"/>
      <c r="AC15" s="125"/>
      <c r="AD15" s="114"/>
      <c r="AE15" s="125"/>
      <c r="AF15" s="114"/>
      <c r="AG15" s="125"/>
      <c r="AH15" s="114"/>
      <c r="AI15" s="125"/>
      <c r="AJ15" s="114"/>
      <c r="AK15" s="125"/>
      <c r="AL15" s="114"/>
      <c r="AM15" s="125"/>
      <c r="AN15" s="114"/>
      <c r="AO15" s="125"/>
      <c r="AP15" s="879"/>
      <c r="AQ15" s="140"/>
      <c r="AR15" s="877"/>
      <c r="AS15" s="141"/>
      <c r="AT15" s="114"/>
      <c r="AU15" s="125"/>
      <c r="AV15" s="132">
        <f aca="true" t="shared" si="7" ref="AV15:AV27">SUM(B15+D15+F15+H15+J15+L15+N15+P15+R15+T15+V15+X15+Z15+AB15+AD15+AF15+AH15+AJ15+AL15+AN15+AP15+AR15+AT15)</f>
        <v>0</v>
      </c>
      <c r="AW15" s="143">
        <f aca="true" t="shared" si="8" ref="AW15:AW27">SUM(C15+E15+G15+I15+K15+M15+O15+Q15+S15+U15+W15+Y15+AA15+AC15+AE15+AG15+AI15+AK15+AM15+AO15+AQ15+AS15+AU15)</f>
        <v>0</v>
      </c>
      <c r="AX15" s="875"/>
      <c r="AY15" s="141"/>
      <c r="AZ15" s="132">
        <f aca="true" t="shared" si="9" ref="AZ15:AZ27">AV15+AX15</f>
        <v>0</v>
      </c>
      <c r="BA15" s="133">
        <f aca="true" t="shared" si="10" ref="BA15:BA27">AW15+AY15</f>
        <v>0</v>
      </c>
    </row>
    <row r="16" spans="1:53" s="167" customFormat="1" ht="14.25">
      <c r="A16" s="183" t="s">
        <v>67</v>
      </c>
      <c r="B16" s="890"/>
      <c r="C16" s="124"/>
      <c r="D16" s="114"/>
      <c r="E16" s="116"/>
      <c r="F16" s="114"/>
      <c r="G16" s="125"/>
      <c r="H16" s="114"/>
      <c r="I16" s="125"/>
      <c r="J16" s="114"/>
      <c r="K16" s="116"/>
      <c r="L16" s="114"/>
      <c r="M16" s="125"/>
      <c r="N16" s="114"/>
      <c r="O16" s="125"/>
      <c r="P16" s="114"/>
      <c r="Q16" s="125"/>
      <c r="R16" s="114"/>
      <c r="S16" s="125"/>
      <c r="T16" s="114"/>
      <c r="U16" s="125"/>
      <c r="V16" s="114"/>
      <c r="W16" s="125"/>
      <c r="X16" s="114"/>
      <c r="Y16" s="125"/>
      <c r="Z16" s="114"/>
      <c r="AA16" s="125"/>
      <c r="AB16" s="114"/>
      <c r="AC16" s="125"/>
      <c r="AD16" s="114"/>
      <c r="AE16" s="125"/>
      <c r="AF16" s="114"/>
      <c r="AG16" s="125"/>
      <c r="AH16" s="114"/>
      <c r="AI16" s="125"/>
      <c r="AJ16" s="114"/>
      <c r="AK16" s="125"/>
      <c r="AL16" s="114"/>
      <c r="AM16" s="125"/>
      <c r="AN16" s="114"/>
      <c r="AO16" s="125"/>
      <c r="AP16" s="879"/>
      <c r="AQ16" s="140"/>
      <c r="AR16" s="877"/>
      <c r="AS16" s="141"/>
      <c r="AT16" s="114"/>
      <c r="AU16" s="125"/>
      <c r="AV16" s="132">
        <f t="shared" si="7"/>
        <v>0</v>
      </c>
      <c r="AW16" s="143">
        <f t="shared" si="8"/>
        <v>0</v>
      </c>
      <c r="AX16" s="875"/>
      <c r="AY16" s="141"/>
      <c r="AZ16" s="132">
        <f t="shared" si="9"/>
        <v>0</v>
      </c>
      <c r="BA16" s="133">
        <f t="shared" si="10"/>
        <v>0</v>
      </c>
    </row>
    <row r="17" spans="1:53" s="167" customFormat="1" ht="14.25">
      <c r="A17" s="182" t="s">
        <v>68</v>
      </c>
      <c r="B17" s="891">
        <v>2175435</v>
      </c>
      <c r="C17" s="893">
        <v>2079289</v>
      </c>
      <c r="D17" s="132">
        <v>2133</v>
      </c>
      <c r="E17" s="136">
        <v>4832</v>
      </c>
      <c r="F17" s="132">
        <v>92777</v>
      </c>
      <c r="G17" s="137">
        <v>127904</v>
      </c>
      <c r="H17" s="132">
        <v>2644150</v>
      </c>
      <c r="I17" s="137">
        <v>2275032</v>
      </c>
      <c r="J17" s="132">
        <v>674440</v>
      </c>
      <c r="K17" s="136">
        <v>754246</v>
      </c>
      <c r="L17" s="132">
        <v>9133</v>
      </c>
      <c r="M17" s="137">
        <v>1178</v>
      </c>
      <c r="N17" s="132">
        <v>190549</v>
      </c>
      <c r="O17" s="137">
        <v>233109</v>
      </c>
      <c r="P17" s="132">
        <v>688862</v>
      </c>
      <c r="Q17" s="137">
        <v>578326</v>
      </c>
      <c r="R17" s="132">
        <v>1318027</v>
      </c>
      <c r="S17" s="137">
        <v>1222268</v>
      </c>
      <c r="T17" s="132">
        <f>99540+11905</f>
        <v>111445</v>
      </c>
      <c r="U17" s="137">
        <f>147213+15929</f>
        <v>163142</v>
      </c>
      <c r="V17" s="132">
        <v>3221943</v>
      </c>
      <c r="W17" s="137">
        <v>2772227</v>
      </c>
      <c r="X17" s="132">
        <v>4249446</v>
      </c>
      <c r="Y17" s="137">
        <v>3815137</v>
      </c>
      <c r="Z17" s="885">
        <v>49261</v>
      </c>
      <c r="AA17" s="546">
        <v>52948</v>
      </c>
      <c r="AB17" s="132">
        <v>70809.74</v>
      </c>
      <c r="AC17" s="137">
        <v>74019.83</v>
      </c>
      <c r="AD17" s="884">
        <v>1835999</v>
      </c>
      <c r="AE17" s="547">
        <v>2438593</v>
      </c>
      <c r="AF17" s="132">
        <v>2722674</v>
      </c>
      <c r="AG17" s="137">
        <v>2657023</v>
      </c>
      <c r="AH17" s="132"/>
      <c r="AI17" s="137">
        <v>278354</v>
      </c>
      <c r="AJ17" s="132">
        <v>1115413</v>
      </c>
      <c r="AK17" s="137">
        <v>1374657</v>
      </c>
      <c r="AL17" s="114"/>
      <c r="AM17" s="125"/>
      <c r="AN17" s="881">
        <v>5913455</v>
      </c>
      <c r="AO17" s="182">
        <v>5550330</v>
      </c>
      <c r="AP17" s="879">
        <v>162960</v>
      </c>
      <c r="AQ17" s="140">
        <v>170291</v>
      </c>
      <c r="AR17" s="877">
        <v>3871</v>
      </c>
      <c r="AS17" s="141">
        <v>10017</v>
      </c>
      <c r="AT17" s="132">
        <v>3325066</v>
      </c>
      <c r="AU17" s="137">
        <v>2653686</v>
      </c>
      <c r="AV17" s="132">
        <f t="shared" si="7"/>
        <v>30577848.740000002</v>
      </c>
      <c r="AW17" s="143">
        <f t="shared" si="8"/>
        <v>29286608.83</v>
      </c>
      <c r="AX17" s="142">
        <v>219696120</v>
      </c>
      <c r="AY17" s="137">
        <v>212390149</v>
      </c>
      <c r="AZ17" s="132">
        <f t="shared" si="9"/>
        <v>250273968.74</v>
      </c>
      <c r="BA17" s="133">
        <f t="shared" si="10"/>
        <v>241676757.82999998</v>
      </c>
    </row>
    <row r="18" spans="1:53" s="167" customFormat="1" ht="14.25">
      <c r="A18" s="182" t="s">
        <v>6</v>
      </c>
      <c r="B18" s="890">
        <v>174335</v>
      </c>
      <c r="C18" s="124">
        <v>221653</v>
      </c>
      <c r="D18" s="114">
        <v>23675</v>
      </c>
      <c r="E18" s="116">
        <v>19822</v>
      </c>
      <c r="F18" s="114">
        <v>18589</v>
      </c>
      <c r="G18" s="125">
        <v>15109</v>
      </c>
      <c r="H18" s="114">
        <v>174606</v>
      </c>
      <c r="I18" s="125">
        <v>160918</v>
      </c>
      <c r="J18" s="114">
        <v>521353</v>
      </c>
      <c r="K18" s="116">
        <v>883005</v>
      </c>
      <c r="L18" s="114">
        <v>14036</v>
      </c>
      <c r="M18" s="125">
        <v>2293</v>
      </c>
      <c r="N18" s="114">
        <v>6242</v>
      </c>
      <c r="O18" s="125">
        <v>3814</v>
      </c>
      <c r="P18" s="114">
        <v>107788</v>
      </c>
      <c r="Q18" s="125">
        <v>67101</v>
      </c>
      <c r="R18" s="114">
        <v>614467</v>
      </c>
      <c r="S18" s="125">
        <v>699510</v>
      </c>
      <c r="T18" s="114">
        <f>41708+2632</f>
        <v>44340</v>
      </c>
      <c r="U18" s="125">
        <f>35405+2800</f>
        <v>38205</v>
      </c>
      <c r="V18" s="114">
        <v>1385534</v>
      </c>
      <c r="W18" s="125">
        <v>1498392</v>
      </c>
      <c r="X18" s="114">
        <v>984449</v>
      </c>
      <c r="Y18" s="125">
        <v>887254</v>
      </c>
      <c r="Z18" s="885">
        <v>4763</v>
      </c>
      <c r="AA18" s="546">
        <v>1541</v>
      </c>
      <c r="AB18" s="114">
        <v>30329.45</v>
      </c>
      <c r="AC18" s="125">
        <v>43240.23</v>
      </c>
      <c r="AD18" s="114">
        <v>245746</v>
      </c>
      <c r="AE18" s="125">
        <v>258154</v>
      </c>
      <c r="AF18" s="114">
        <v>57407</v>
      </c>
      <c r="AG18" s="125">
        <v>42755</v>
      </c>
      <c r="AH18" s="114"/>
      <c r="AI18" s="125">
        <v>166387</v>
      </c>
      <c r="AJ18" s="114">
        <v>172422</v>
      </c>
      <c r="AK18" s="125">
        <v>235719</v>
      </c>
      <c r="AL18" s="114"/>
      <c r="AM18" s="125"/>
      <c r="AN18" s="881">
        <v>55402</v>
      </c>
      <c r="AO18" s="182">
        <v>46952</v>
      </c>
      <c r="AP18" s="879">
        <v>179991</v>
      </c>
      <c r="AQ18" s="140">
        <v>83757</v>
      </c>
      <c r="AR18" s="877">
        <v>1490</v>
      </c>
      <c r="AS18" s="141">
        <v>966</v>
      </c>
      <c r="AT18" s="114">
        <v>685826</v>
      </c>
      <c r="AU18" s="125">
        <v>571034</v>
      </c>
      <c r="AV18" s="132">
        <f t="shared" si="7"/>
        <v>5502790.45</v>
      </c>
      <c r="AW18" s="143">
        <f t="shared" si="8"/>
        <v>5947581.23</v>
      </c>
      <c r="AX18" s="139">
        <v>27075</v>
      </c>
      <c r="AY18" s="125">
        <v>30162</v>
      </c>
      <c r="AZ18" s="132">
        <f t="shared" si="9"/>
        <v>5529865.45</v>
      </c>
      <c r="BA18" s="133">
        <f t="shared" si="10"/>
        <v>5977743.23</v>
      </c>
    </row>
    <row r="19" spans="1:53" s="167" customFormat="1" ht="14.25">
      <c r="A19" s="182" t="s">
        <v>69</v>
      </c>
      <c r="B19" s="890">
        <v>2669200</v>
      </c>
      <c r="C19" s="124">
        <v>2240986</v>
      </c>
      <c r="D19" s="114">
        <v>13944</v>
      </c>
      <c r="E19" s="116">
        <v>18182</v>
      </c>
      <c r="F19" s="114">
        <v>128833</v>
      </c>
      <c r="G19" s="125">
        <v>82434</v>
      </c>
      <c r="H19" s="114">
        <v>2538941</v>
      </c>
      <c r="I19" s="125">
        <v>1372337</v>
      </c>
      <c r="J19" s="114">
        <v>366798</v>
      </c>
      <c r="K19" s="116">
        <v>258789</v>
      </c>
      <c r="L19" s="114">
        <v>11913</v>
      </c>
      <c r="M19" s="125">
        <v>12079</v>
      </c>
      <c r="N19" s="114">
        <v>77178</v>
      </c>
      <c r="O19" s="125">
        <v>109337</v>
      </c>
      <c r="P19" s="114">
        <v>262980</v>
      </c>
      <c r="Q19" s="125">
        <v>144139</v>
      </c>
      <c r="R19" s="114">
        <v>48873</v>
      </c>
      <c r="S19" s="125">
        <v>105406</v>
      </c>
      <c r="T19" s="114">
        <v>245564</v>
      </c>
      <c r="U19" s="125">
        <v>304343</v>
      </c>
      <c r="V19" s="114">
        <v>12412488</v>
      </c>
      <c r="W19" s="125">
        <v>10576198</v>
      </c>
      <c r="X19" s="114">
        <v>8851859</v>
      </c>
      <c r="Y19" s="125">
        <v>10278133</v>
      </c>
      <c r="Z19" s="885">
        <v>611734</v>
      </c>
      <c r="AA19" s="546">
        <v>702778</v>
      </c>
      <c r="AB19" s="114">
        <v>1599842.41</v>
      </c>
      <c r="AC19" s="125">
        <v>1387693.85</v>
      </c>
      <c r="AD19" s="114">
        <v>2935517</v>
      </c>
      <c r="AE19" s="125">
        <v>2516449</v>
      </c>
      <c r="AF19" s="114">
        <v>201024</v>
      </c>
      <c r="AG19" s="125">
        <v>213880</v>
      </c>
      <c r="AH19" s="114"/>
      <c r="AI19" s="125">
        <v>2391727</v>
      </c>
      <c r="AJ19" s="114">
        <v>203092</v>
      </c>
      <c r="AK19" s="125">
        <v>215960</v>
      </c>
      <c r="AL19" s="114"/>
      <c r="AM19" s="125"/>
      <c r="AN19" s="881">
        <v>525949</v>
      </c>
      <c r="AO19" s="182">
        <v>288926</v>
      </c>
      <c r="AP19" s="879">
        <v>884883</v>
      </c>
      <c r="AQ19" s="140">
        <v>868694</v>
      </c>
      <c r="AR19" s="877"/>
      <c r="AS19" s="141"/>
      <c r="AT19" s="114">
        <v>132368</v>
      </c>
      <c r="AU19" s="125">
        <v>91265</v>
      </c>
      <c r="AV19" s="132">
        <f t="shared" si="7"/>
        <v>34722980.41</v>
      </c>
      <c r="AW19" s="143">
        <f t="shared" si="8"/>
        <v>34179735.85</v>
      </c>
      <c r="AX19" s="139">
        <v>168730</v>
      </c>
      <c r="AY19" s="125">
        <v>85149</v>
      </c>
      <c r="AZ19" s="132">
        <f t="shared" si="9"/>
        <v>34891710.41</v>
      </c>
      <c r="BA19" s="133">
        <f t="shared" si="10"/>
        <v>34264884.85</v>
      </c>
    </row>
    <row r="20" spans="1:53" s="167" customFormat="1" ht="14.25">
      <c r="A20" s="182" t="s">
        <v>70</v>
      </c>
      <c r="B20" s="890"/>
      <c r="C20" s="124"/>
      <c r="D20" s="114"/>
      <c r="E20" s="116"/>
      <c r="F20" s="114"/>
      <c r="G20" s="125"/>
      <c r="H20" s="114"/>
      <c r="I20" s="125"/>
      <c r="J20" s="114"/>
      <c r="K20" s="116"/>
      <c r="L20" s="114">
        <v>2883871</v>
      </c>
      <c r="M20" s="125">
        <v>2227145</v>
      </c>
      <c r="N20" s="114">
        <v>14329</v>
      </c>
      <c r="O20" s="125">
        <v>27081</v>
      </c>
      <c r="P20" s="114"/>
      <c r="Q20" s="125"/>
      <c r="R20" s="114">
        <v>95104</v>
      </c>
      <c r="S20" s="125">
        <v>117788</v>
      </c>
      <c r="T20" s="114"/>
      <c r="U20" s="125"/>
      <c r="V20" s="114"/>
      <c r="W20" s="125"/>
      <c r="X20" s="114"/>
      <c r="Y20" s="125"/>
      <c r="Z20" s="885"/>
      <c r="AA20" s="546"/>
      <c r="AB20" s="114"/>
      <c r="AC20" s="125"/>
      <c r="AD20" s="114"/>
      <c r="AE20" s="125"/>
      <c r="AF20" s="114">
        <v>9288994</v>
      </c>
      <c r="AG20" s="125">
        <v>7330755</v>
      </c>
      <c r="AH20" s="114"/>
      <c r="AI20" s="125"/>
      <c r="AJ20" s="114"/>
      <c r="AK20" s="125"/>
      <c r="AL20" s="114"/>
      <c r="AM20" s="125"/>
      <c r="AN20" s="881">
        <v>10926091</v>
      </c>
      <c r="AO20" s="182">
        <v>9771801</v>
      </c>
      <c r="AP20" s="879"/>
      <c r="AQ20" s="140"/>
      <c r="AR20" s="877">
        <v>1816615</v>
      </c>
      <c r="AS20" s="141">
        <v>1508011</v>
      </c>
      <c r="AT20" s="114">
        <v>5513042</v>
      </c>
      <c r="AU20" s="125">
        <v>4327507</v>
      </c>
      <c r="AV20" s="132">
        <f t="shared" si="7"/>
        <v>30538046</v>
      </c>
      <c r="AW20" s="143">
        <f t="shared" si="8"/>
        <v>25310088</v>
      </c>
      <c r="AX20" s="139">
        <v>1739217</v>
      </c>
      <c r="AY20" s="125">
        <v>1262724</v>
      </c>
      <c r="AZ20" s="132">
        <f t="shared" si="9"/>
        <v>32277263</v>
      </c>
      <c r="BA20" s="133">
        <f t="shared" si="10"/>
        <v>26572812</v>
      </c>
    </row>
    <row r="21" spans="1:53" s="167" customFormat="1" ht="14.25">
      <c r="A21" s="182" t="s">
        <v>71</v>
      </c>
      <c r="B21" s="890"/>
      <c r="C21" s="124"/>
      <c r="D21" s="114"/>
      <c r="E21" s="116"/>
      <c r="F21" s="114"/>
      <c r="G21" s="125"/>
      <c r="H21" s="114">
        <v>70379</v>
      </c>
      <c r="I21" s="125">
        <v>99902</v>
      </c>
      <c r="J21" s="114"/>
      <c r="K21" s="116"/>
      <c r="L21" s="114"/>
      <c r="M21" s="125"/>
      <c r="N21" s="114">
        <v>2780</v>
      </c>
      <c r="O21" s="125">
        <v>18027</v>
      </c>
      <c r="P21" s="114"/>
      <c r="Q21" s="125"/>
      <c r="R21" s="114"/>
      <c r="S21" s="125"/>
      <c r="T21" s="114"/>
      <c r="U21" s="125"/>
      <c r="V21" s="114">
        <v>17750</v>
      </c>
      <c r="W21" s="125">
        <v>5888</v>
      </c>
      <c r="X21" s="887">
        <v>4507</v>
      </c>
      <c r="Y21" s="126"/>
      <c r="Z21" s="885"/>
      <c r="AA21" s="546"/>
      <c r="AB21" s="114"/>
      <c r="AC21" s="125"/>
      <c r="AD21" s="114"/>
      <c r="AE21" s="125"/>
      <c r="AF21" s="114"/>
      <c r="AG21" s="125"/>
      <c r="AH21" s="114"/>
      <c r="AI21" s="125"/>
      <c r="AJ21" s="114"/>
      <c r="AK21" s="125"/>
      <c r="AL21" s="114"/>
      <c r="AM21" s="125"/>
      <c r="AN21" s="114"/>
      <c r="AO21" s="125"/>
      <c r="AP21" s="879"/>
      <c r="AQ21" s="140"/>
      <c r="AR21" s="877"/>
      <c r="AS21" s="141"/>
      <c r="AT21" s="114"/>
      <c r="AU21" s="125"/>
      <c r="AV21" s="132">
        <f t="shared" si="7"/>
        <v>95416</v>
      </c>
      <c r="AW21" s="143">
        <f t="shared" si="8"/>
        <v>123817</v>
      </c>
      <c r="AX21" s="139"/>
      <c r="AY21" s="125"/>
      <c r="AZ21" s="132">
        <f t="shared" si="9"/>
        <v>95416</v>
      </c>
      <c r="BA21" s="133">
        <f t="shared" si="10"/>
        <v>123817</v>
      </c>
    </row>
    <row r="22" spans="1:53" s="167" customFormat="1" ht="14.25">
      <c r="A22" s="182" t="s">
        <v>15</v>
      </c>
      <c r="B22" s="891"/>
      <c r="C22" s="893"/>
      <c r="D22" s="132"/>
      <c r="E22" s="136"/>
      <c r="F22" s="132"/>
      <c r="G22" s="137"/>
      <c r="H22" s="132"/>
      <c r="I22" s="137"/>
      <c r="J22" s="132"/>
      <c r="K22" s="136"/>
      <c r="L22" s="132"/>
      <c r="M22" s="137"/>
      <c r="N22" s="132"/>
      <c r="O22" s="137"/>
      <c r="P22" s="132"/>
      <c r="Q22" s="137"/>
      <c r="R22" s="132"/>
      <c r="S22" s="137"/>
      <c r="T22" s="132"/>
      <c r="U22" s="137"/>
      <c r="V22" s="132"/>
      <c r="W22" s="137"/>
      <c r="X22" s="132"/>
      <c r="Y22" s="137"/>
      <c r="Z22" s="885"/>
      <c r="AA22" s="546"/>
      <c r="AB22" s="132">
        <v>12683.23</v>
      </c>
      <c r="AC22" s="137">
        <v>1278.29</v>
      </c>
      <c r="AD22" s="884"/>
      <c r="AE22" s="547"/>
      <c r="AF22" s="132"/>
      <c r="AG22" s="137"/>
      <c r="AH22" s="132"/>
      <c r="AI22" s="137"/>
      <c r="AJ22" s="132"/>
      <c r="AK22" s="137"/>
      <c r="AL22" s="114"/>
      <c r="AM22" s="125"/>
      <c r="AN22" s="881"/>
      <c r="AO22" s="182"/>
      <c r="AP22" s="879"/>
      <c r="AQ22" s="140"/>
      <c r="AR22" s="877"/>
      <c r="AS22" s="141"/>
      <c r="AT22" s="132"/>
      <c r="AU22" s="137"/>
      <c r="AV22" s="132">
        <f t="shared" si="7"/>
        <v>12683.23</v>
      </c>
      <c r="AW22" s="143">
        <f t="shared" si="8"/>
        <v>1278.29</v>
      </c>
      <c r="AX22" s="142"/>
      <c r="AY22" s="137"/>
      <c r="AZ22" s="132">
        <f t="shared" si="9"/>
        <v>12683.23</v>
      </c>
      <c r="BA22" s="133">
        <f t="shared" si="10"/>
        <v>1278.29</v>
      </c>
    </row>
    <row r="23" spans="1:53" s="167" customFormat="1" ht="14.25">
      <c r="A23" s="182" t="s">
        <v>17</v>
      </c>
      <c r="B23" s="890"/>
      <c r="C23" s="124"/>
      <c r="D23" s="114"/>
      <c r="E23" s="116"/>
      <c r="F23" s="114">
        <v>11233</v>
      </c>
      <c r="G23" s="125">
        <v>11949</v>
      </c>
      <c r="H23" s="114"/>
      <c r="I23" s="125"/>
      <c r="J23" s="114"/>
      <c r="K23" s="116"/>
      <c r="L23" s="114"/>
      <c r="M23" s="125"/>
      <c r="N23" s="114"/>
      <c r="O23" s="125"/>
      <c r="P23" s="114"/>
      <c r="Q23" s="125"/>
      <c r="R23" s="114">
        <v>3</v>
      </c>
      <c r="S23" s="125">
        <v>150</v>
      </c>
      <c r="T23" s="114">
        <v>14955</v>
      </c>
      <c r="U23" s="125">
        <v>26248</v>
      </c>
      <c r="V23" s="114">
        <v>8533</v>
      </c>
      <c r="W23" s="125">
        <v>10978</v>
      </c>
      <c r="X23" s="114">
        <v>30449</v>
      </c>
      <c r="Y23" s="125">
        <v>14493</v>
      </c>
      <c r="Z23" s="885"/>
      <c r="AA23" s="546"/>
      <c r="AB23" s="114"/>
      <c r="AC23" s="125"/>
      <c r="AD23" s="114"/>
      <c r="AE23" s="125"/>
      <c r="AF23" s="114"/>
      <c r="AG23" s="125"/>
      <c r="AH23" s="114"/>
      <c r="AI23" s="125"/>
      <c r="AJ23" s="114"/>
      <c r="AK23" s="125"/>
      <c r="AL23" s="114"/>
      <c r="AM23" s="125"/>
      <c r="AN23" s="881">
        <v>732</v>
      </c>
      <c r="AO23" s="182">
        <v>391</v>
      </c>
      <c r="AP23" s="879"/>
      <c r="AQ23" s="140"/>
      <c r="AR23" s="877"/>
      <c r="AS23" s="141"/>
      <c r="AT23" s="114"/>
      <c r="AU23" s="125"/>
      <c r="AV23" s="132">
        <f t="shared" si="7"/>
        <v>65905</v>
      </c>
      <c r="AW23" s="143">
        <f t="shared" si="8"/>
        <v>64209</v>
      </c>
      <c r="AX23" s="875">
        <v>75246</v>
      </c>
      <c r="AY23" s="141">
        <v>36417</v>
      </c>
      <c r="AZ23" s="132">
        <f t="shared" si="9"/>
        <v>141151</v>
      </c>
      <c r="BA23" s="133">
        <f t="shared" si="10"/>
        <v>100626</v>
      </c>
    </row>
    <row r="24" spans="1:53" s="167" customFormat="1" ht="14.25">
      <c r="A24" s="182" t="s">
        <v>72</v>
      </c>
      <c r="B24" s="890"/>
      <c r="C24" s="124"/>
      <c r="D24" s="114">
        <v>10863</v>
      </c>
      <c r="E24" s="116">
        <v>3383</v>
      </c>
      <c r="F24" s="114"/>
      <c r="G24" s="125"/>
      <c r="H24" s="114"/>
      <c r="I24" s="125"/>
      <c r="J24" s="114">
        <v>100</v>
      </c>
      <c r="K24" s="116"/>
      <c r="L24" s="114">
        <v>17530</v>
      </c>
      <c r="M24" s="125">
        <v>2657</v>
      </c>
      <c r="N24" s="114"/>
      <c r="O24" s="125"/>
      <c r="P24" s="114">
        <v>626</v>
      </c>
      <c r="Q24" s="125">
        <v>44</v>
      </c>
      <c r="R24" s="114"/>
      <c r="S24" s="125"/>
      <c r="T24" s="114">
        <v>67</v>
      </c>
      <c r="U24" s="125">
        <v>184</v>
      </c>
      <c r="V24" s="114">
        <v>57737</v>
      </c>
      <c r="W24" s="125">
        <v>48137</v>
      </c>
      <c r="X24" s="114">
        <v>179332</v>
      </c>
      <c r="Y24" s="125">
        <v>218787</v>
      </c>
      <c r="Z24" s="885"/>
      <c r="AA24" s="546"/>
      <c r="AB24" s="114">
        <v>19.16</v>
      </c>
      <c r="AC24" s="125"/>
      <c r="AD24" s="114"/>
      <c r="AE24" s="125"/>
      <c r="AF24" s="114"/>
      <c r="AG24" s="125"/>
      <c r="AH24" s="114"/>
      <c r="AI24" s="125"/>
      <c r="AJ24" s="114"/>
      <c r="AK24" s="125"/>
      <c r="AL24" s="114"/>
      <c r="AM24" s="125"/>
      <c r="AN24" s="881">
        <v>3712</v>
      </c>
      <c r="AO24" s="182">
        <v>3817</v>
      </c>
      <c r="AP24" s="879"/>
      <c r="AQ24" s="140"/>
      <c r="AR24" s="877"/>
      <c r="AS24" s="141"/>
      <c r="AT24" s="114">
        <v>320259</v>
      </c>
      <c r="AU24" s="125">
        <v>240144</v>
      </c>
      <c r="AV24" s="132">
        <f t="shared" si="7"/>
        <v>590245.1599999999</v>
      </c>
      <c r="AW24" s="143">
        <f t="shared" si="8"/>
        <v>517153</v>
      </c>
      <c r="AX24" s="875"/>
      <c r="AY24" s="141"/>
      <c r="AZ24" s="132">
        <f t="shared" si="9"/>
        <v>590245.1599999999</v>
      </c>
      <c r="BA24" s="133">
        <f t="shared" si="10"/>
        <v>517153</v>
      </c>
    </row>
    <row r="25" spans="1:53" s="167" customFormat="1" ht="14.25">
      <c r="A25" s="182" t="s">
        <v>73</v>
      </c>
      <c r="B25" s="892"/>
      <c r="C25" s="894"/>
      <c r="D25" s="153"/>
      <c r="E25" s="149"/>
      <c r="F25" s="153">
        <v>209</v>
      </c>
      <c r="G25" s="154">
        <v>-139</v>
      </c>
      <c r="H25" s="153"/>
      <c r="I25" s="154"/>
      <c r="J25" s="153"/>
      <c r="K25" s="149"/>
      <c r="L25" s="153"/>
      <c r="M25" s="154"/>
      <c r="N25" s="153"/>
      <c r="O25" s="154">
        <v>444</v>
      </c>
      <c r="P25" s="153"/>
      <c r="Q25" s="154"/>
      <c r="R25" s="153">
        <v>4774</v>
      </c>
      <c r="S25" s="154">
        <v>8427</v>
      </c>
      <c r="T25" s="153"/>
      <c r="U25" s="154"/>
      <c r="V25" s="153"/>
      <c r="W25" s="154"/>
      <c r="X25" s="153"/>
      <c r="Y25" s="154"/>
      <c r="Z25" s="886"/>
      <c r="AA25" s="548"/>
      <c r="AB25" s="153"/>
      <c r="AC25" s="154"/>
      <c r="AD25" s="153">
        <v>470</v>
      </c>
      <c r="AE25" s="154">
        <v>425</v>
      </c>
      <c r="AF25" s="153"/>
      <c r="AG25" s="154"/>
      <c r="AH25" s="153"/>
      <c r="AI25" s="154"/>
      <c r="AJ25" s="153"/>
      <c r="AK25" s="154"/>
      <c r="AL25" s="153"/>
      <c r="AM25" s="154"/>
      <c r="AN25" s="882"/>
      <c r="AO25" s="549"/>
      <c r="AP25" s="880"/>
      <c r="AQ25" s="155"/>
      <c r="AR25" s="878"/>
      <c r="AS25" s="156"/>
      <c r="AT25" s="153"/>
      <c r="AU25" s="154"/>
      <c r="AV25" s="132">
        <f t="shared" si="7"/>
        <v>5453</v>
      </c>
      <c r="AW25" s="143">
        <f t="shared" si="8"/>
        <v>9157</v>
      </c>
      <c r="AX25" s="876"/>
      <c r="AY25" s="156"/>
      <c r="AZ25" s="132">
        <f t="shared" si="9"/>
        <v>5453</v>
      </c>
      <c r="BA25" s="133">
        <f t="shared" si="10"/>
        <v>9157</v>
      </c>
    </row>
    <row r="26" spans="1:53" s="167" customFormat="1" ht="15" thickBot="1">
      <c r="A26" s="549" t="s">
        <v>74</v>
      </c>
      <c r="B26" s="892"/>
      <c r="C26" s="895"/>
      <c r="D26" s="153"/>
      <c r="E26" s="550"/>
      <c r="F26" s="153"/>
      <c r="G26" s="551"/>
      <c r="H26" s="153"/>
      <c r="I26" s="551"/>
      <c r="J26" s="153"/>
      <c r="K26" s="149"/>
      <c r="L26" s="153"/>
      <c r="M26" s="154"/>
      <c r="N26" s="153">
        <v>3218</v>
      </c>
      <c r="O26" s="154">
        <v>4224</v>
      </c>
      <c r="P26" s="153"/>
      <c r="Q26" s="154"/>
      <c r="R26" s="153">
        <v>38996</v>
      </c>
      <c r="S26" s="154">
        <v>2321</v>
      </c>
      <c r="T26" s="153"/>
      <c r="U26" s="154"/>
      <c r="V26" s="153"/>
      <c r="W26" s="154"/>
      <c r="X26" s="153"/>
      <c r="Y26" s="154"/>
      <c r="Z26" s="886"/>
      <c r="AA26" s="548"/>
      <c r="AB26" s="153"/>
      <c r="AC26" s="154"/>
      <c r="AD26" s="153"/>
      <c r="AE26" s="154"/>
      <c r="AF26" s="153"/>
      <c r="AG26" s="154"/>
      <c r="AH26" s="153"/>
      <c r="AI26" s="154"/>
      <c r="AJ26" s="153">
        <v>341</v>
      </c>
      <c r="AK26" s="154"/>
      <c r="AL26" s="153"/>
      <c r="AM26" s="154"/>
      <c r="AN26" s="882"/>
      <c r="AO26" s="549"/>
      <c r="AP26" s="880">
        <v>1232</v>
      </c>
      <c r="AQ26" s="155"/>
      <c r="AR26" s="878"/>
      <c r="AS26" s="156"/>
      <c r="AT26" s="153"/>
      <c r="AU26" s="154"/>
      <c r="AV26" s="157">
        <f t="shared" si="7"/>
        <v>43787</v>
      </c>
      <c r="AW26" s="159">
        <f t="shared" si="8"/>
        <v>6545</v>
      </c>
      <c r="AX26" s="876"/>
      <c r="AY26" s="156"/>
      <c r="AZ26" s="157">
        <f t="shared" si="9"/>
        <v>43787</v>
      </c>
      <c r="BA26" s="553">
        <f t="shared" si="10"/>
        <v>6545</v>
      </c>
    </row>
    <row r="27" spans="1:53" s="552" customFormat="1" ht="15" thickBot="1">
      <c r="A27" s="564" t="s">
        <v>54</v>
      </c>
      <c r="B27" s="554">
        <f aca="true" t="shared" si="11" ref="B27:H27">SUM(B17:B25)</f>
        <v>5018970</v>
      </c>
      <c r="C27" s="556">
        <f t="shared" si="11"/>
        <v>4541928</v>
      </c>
      <c r="D27" s="554">
        <f t="shared" si="11"/>
        <v>50615</v>
      </c>
      <c r="E27" s="556">
        <f t="shared" si="11"/>
        <v>46219</v>
      </c>
      <c r="F27" s="554">
        <f t="shared" si="11"/>
        <v>251641</v>
      </c>
      <c r="G27" s="555">
        <f t="shared" si="11"/>
        <v>237257</v>
      </c>
      <c r="H27" s="554">
        <f t="shared" si="11"/>
        <v>5428076</v>
      </c>
      <c r="I27" s="555">
        <f>SUM(I17:I26)</f>
        <v>3908189</v>
      </c>
      <c r="J27" s="554">
        <f aca="true" t="shared" si="12" ref="J27:AM27">SUM(J17:J26)</f>
        <v>1562691</v>
      </c>
      <c r="K27" s="556">
        <f t="shared" si="12"/>
        <v>1896040</v>
      </c>
      <c r="L27" s="554">
        <f t="shared" si="12"/>
        <v>2936483</v>
      </c>
      <c r="M27" s="555">
        <f t="shared" si="12"/>
        <v>2245352</v>
      </c>
      <c r="N27" s="554">
        <f t="shared" si="12"/>
        <v>294296</v>
      </c>
      <c r="O27" s="555">
        <f t="shared" si="12"/>
        <v>396036</v>
      </c>
      <c r="P27" s="554">
        <f t="shared" si="12"/>
        <v>1060256</v>
      </c>
      <c r="Q27" s="555">
        <f t="shared" si="12"/>
        <v>789610</v>
      </c>
      <c r="R27" s="554">
        <f t="shared" si="12"/>
        <v>2120244</v>
      </c>
      <c r="S27" s="555">
        <f t="shared" si="12"/>
        <v>2155870</v>
      </c>
      <c r="T27" s="554">
        <f t="shared" si="12"/>
        <v>416371</v>
      </c>
      <c r="U27" s="555">
        <f t="shared" si="12"/>
        <v>532122</v>
      </c>
      <c r="V27" s="554">
        <f t="shared" si="12"/>
        <v>17103985</v>
      </c>
      <c r="W27" s="555">
        <f t="shared" si="12"/>
        <v>14911820</v>
      </c>
      <c r="X27" s="554">
        <f t="shared" si="12"/>
        <v>14300042</v>
      </c>
      <c r="Y27" s="555">
        <f t="shared" si="12"/>
        <v>15213804</v>
      </c>
      <c r="Z27" s="554">
        <f t="shared" si="12"/>
        <v>665758</v>
      </c>
      <c r="AA27" s="555">
        <f t="shared" si="12"/>
        <v>757267</v>
      </c>
      <c r="AB27" s="554">
        <f t="shared" si="12"/>
        <v>1713683.9899999998</v>
      </c>
      <c r="AC27" s="555">
        <f t="shared" si="12"/>
        <v>1506232.2000000002</v>
      </c>
      <c r="AD27" s="554">
        <f t="shared" si="12"/>
        <v>5017732</v>
      </c>
      <c r="AE27" s="555">
        <f t="shared" si="12"/>
        <v>5213621</v>
      </c>
      <c r="AF27" s="554">
        <f t="shared" si="12"/>
        <v>12270099</v>
      </c>
      <c r="AG27" s="555">
        <f t="shared" si="12"/>
        <v>10244413</v>
      </c>
      <c r="AH27" s="554">
        <f t="shared" si="12"/>
        <v>0</v>
      </c>
      <c r="AI27" s="555">
        <f t="shared" si="12"/>
        <v>2836468</v>
      </c>
      <c r="AJ27" s="554">
        <f t="shared" si="12"/>
        <v>1491268</v>
      </c>
      <c r="AK27" s="555">
        <f t="shared" si="12"/>
        <v>1826336</v>
      </c>
      <c r="AL27" s="554">
        <f t="shared" si="12"/>
        <v>0</v>
      </c>
      <c r="AM27" s="555">
        <f t="shared" si="12"/>
        <v>0</v>
      </c>
      <c r="AN27" s="559">
        <f aca="true" t="shared" si="13" ref="AN27:AU27">SUM(AN17:AN26)</f>
        <v>17425341</v>
      </c>
      <c r="AO27" s="558">
        <f t="shared" si="13"/>
        <v>15662217</v>
      </c>
      <c r="AP27" s="559">
        <f t="shared" si="13"/>
        <v>1229066</v>
      </c>
      <c r="AQ27" s="558">
        <f t="shared" si="13"/>
        <v>1122742</v>
      </c>
      <c r="AR27" s="559">
        <f t="shared" si="13"/>
        <v>1821976</v>
      </c>
      <c r="AS27" s="558">
        <f t="shared" si="13"/>
        <v>1518994</v>
      </c>
      <c r="AT27" s="559">
        <f t="shared" si="13"/>
        <v>9976561</v>
      </c>
      <c r="AU27" s="558">
        <f t="shared" si="13"/>
        <v>7883636</v>
      </c>
      <c r="AV27" s="559">
        <f t="shared" si="7"/>
        <v>102155154.99000001</v>
      </c>
      <c r="AW27" s="577">
        <f t="shared" si="8"/>
        <v>95446173.2</v>
      </c>
      <c r="AX27" s="561">
        <f>SUM(AX17:AX26)</f>
        <v>221706388</v>
      </c>
      <c r="AY27" s="562">
        <f>SUM(AY17:AY26)</f>
        <v>213804601</v>
      </c>
      <c r="AZ27" s="559">
        <f t="shared" si="9"/>
        <v>323861542.99</v>
      </c>
      <c r="BA27" s="563">
        <f t="shared" si="10"/>
        <v>309250774.2</v>
      </c>
    </row>
  </sheetData>
  <sheetProtection/>
  <mergeCells count="26">
    <mergeCell ref="AZ3:BA3"/>
    <mergeCell ref="AB3:AC3"/>
    <mergeCell ref="AR3:AS3"/>
    <mergeCell ref="AX3:AY3"/>
    <mergeCell ref="AT3:AU3"/>
    <mergeCell ref="AV3:AW3"/>
    <mergeCell ref="AN3:AO3"/>
    <mergeCell ref="AP3:AQ3"/>
    <mergeCell ref="AL3:AM3"/>
    <mergeCell ref="AJ3:AK3"/>
    <mergeCell ref="L3:M3"/>
    <mergeCell ref="J3:K3"/>
    <mergeCell ref="N3:O3"/>
    <mergeCell ref="P3:Q3"/>
    <mergeCell ref="R3:S3"/>
    <mergeCell ref="T3:U3"/>
    <mergeCell ref="B3:C3"/>
    <mergeCell ref="D3:E3"/>
    <mergeCell ref="AD3:AE3"/>
    <mergeCell ref="AF3:AG3"/>
    <mergeCell ref="AH3:AI3"/>
    <mergeCell ref="V3:W3"/>
    <mergeCell ref="X3:Y3"/>
    <mergeCell ref="Z3:AA3"/>
    <mergeCell ref="H3:I3"/>
    <mergeCell ref="F3:G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BA3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B23" sqref="AB23"/>
    </sheetView>
  </sheetViews>
  <sheetFormatPr defaultColWidth="9.140625" defaultRowHeight="15"/>
  <cols>
    <col min="1" max="1" width="67.57421875" style="138" customWidth="1"/>
    <col min="2" max="25" width="12.421875" style="138" bestFit="1" customWidth="1"/>
    <col min="26" max="26" width="12.421875" style="138" customWidth="1"/>
    <col min="27" max="41" width="12.421875" style="138" bestFit="1" customWidth="1"/>
    <col min="42" max="42" width="10.421875" style="138" customWidth="1"/>
    <col min="43" max="47" width="12.421875" style="138" bestFit="1" customWidth="1"/>
    <col min="48" max="53" width="12.8515625" style="138" bestFit="1" customWidth="1"/>
    <col min="54" max="16384" width="9.140625" style="138" customWidth="1"/>
  </cols>
  <sheetData>
    <row r="1" spans="1:51" ht="18">
      <c r="A1" s="1649" t="s">
        <v>160</v>
      </c>
      <c r="B1" s="1649"/>
      <c r="C1" s="1649"/>
      <c r="D1" s="1649"/>
      <c r="E1" s="1649"/>
      <c r="F1" s="1649"/>
      <c r="G1" s="1649"/>
      <c r="H1" s="1649"/>
      <c r="I1" s="1649"/>
      <c r="J1" s="1649"/>
      <c r="K1" s="1649"/>
      <c r="L1" s="1649"/>
      <c r="M1" s="1649"/>
      <c r="N1" s="1649"/>
      <c r="O1" s="1649"/>
      <c r="P1" s="1649"/>
      <c r="Q1" s="1649"/>
      <c r="R1" s="1649"/>
      <c r="S1" s="1649"/>
      <c r="T1" s="1649"/>
      <c r="U1" s="1649"/>
      <c r="V1" s="1649"/>
      <c r="W1" s="1649"/>
      <c r="X1" s="1649"/>
      <c r="Y1" s="1649"/>
      <c r="Z1" s="1649"/>
      <c r="AA1" s="1649"/>
      <c r="AB1" s="1649"/>
      <c r="AC1" s="1649"/>
      <c r="AD1" s="1649"/>
      <c r="AE1" s="1649"/>
      <c r="AF1" s="1649"/>
      <c r="AG1" s="1649"/>
      <c r="AH1" s="1649"/>
      <c r="AI1" s="1649"/>
      <c r="AJ1" s="1649"/>
      <c r="AK1" s="1649"/>
      <c r="AL1" s="1649"/>
      <c r="AM1" s="1649"/>
      <c r="AN1" s="1649"/>
      <c r="AO1" s="1649"/>
      <c r="AP1" s="1649"/>
      <c r="AQ1" s="1649"/>
      <c r="AR1" s="1649"/>
      <c r="AS1" s="1649"/>
      <c r="AT1" s="1649"/>
      <c r="AU1" s="1649"/>
      <c r="AV1" s="1649"/>
      <c r="AW1" s="1649"/>
      <c r="AX1" s="1649"/>
      <c r="AY1" s="1649"/>
    </row>
    <row r="2" spans="1:51" s="568" customFormat="1" ht="18.75" thickBot="1">
      <c r="A2" s="1650" t="s">
        <v>75</v>
      </c>
      <c r="B2" s="1650"/>
      <c r="C2" s="1650"/>
      <c r="D2" s="1650"/>
      <c r="E2" s="1650"/>
      <c r="F2" s="1650"/>
      <c r="G2" s="1650"/>
      <c r="H2" s="1650"/>
      <c r="I2" s="1650"/>
      <c r="J2" s="1650"/>
      <c r="K2" s="1650"/>
      <c r="L2" s="1650"/>
      <c r="M2" s="1650"/>
      <c r="N2" s="1650"/>
      <c r="O2" s="1650"/>
      <c r="P2" s="1650"/>
      <c r="Q2" s="1650"/>
      <c r="R2" s="1650"/>
      <c r="S2" s="1650"/>
      <c r="T2" s="1650"/>
      <c r="U2" s="1650"/>
      <c r="V2" s="1650"/>
      <c r="W2" s="1650"/>
      <c r="X2" s="1650"/>
      <c r="Y2" s="1650"/>
      <c r="Z2" s="1650"/>
      <c r="AA2" s="1650"/>
      <c r="AB2" s="1650"/>
      <c r="AC2" s="1650"/>
      <c r="AD2" s="1650"/>
      <c r="AE2" s="1650"/>
      <c r="AF2" s="1650"/>
      <c r="AG2" s="1650"/>
      <c r="AH2" s="1650"/>
      <c r="AI2" s="1650"/>
      <c r="AJ2" s="1650"/>
      <c r="AK2" s="1650"/>
      <c r="AL2" s="1650"/>
      <c r="AM2" s="1650"/>
      <c r="AN2" s="1650"/>
      <c r="AO2" s="1650"/>
      <c r="AP2" s="1650"/>
      <c r="AQ2" s="1650"/>
      <c r="AR2" s="1650"/>
      <c r="AS2" s="1650"/>
      <c r="AT2" s="1650"/>
      <c r="AU2" s="1650"/>
      <c r="AV2" s="1650"/>
      <c r="AW2" s="1650"/>
      <c r="AX2" s="1650"/>
      <c r="AY2" s="1650"/>
    </row>
    <row r="3" spans="1:53" s="935" customFormat="1" ht="30" customHeight="1" thickBot="1">
      <c r="A3" s="1651" t="s">
        <v>0</v>
      </c>
      <c r="B3" s="1646" t="s">
        <v>163</v>
      </c>
      <c r="C3" s="1648"/>
      <c r="D3" s="1647" t="s">
        <v>164</v>
      </c>
      <c r="E3" s="1647"/>
      <c r="F3" s="1646" t="s">
        <v>165</v>
      </c>
      <c r="G3" s="1648"/>
      <c r="H3" s="1646" t="s">
        <v>166</v>
      </c>
      <c r="I3" s="1648"/>
      <c r="J3" s="1647" t="s">
        <v>167</v>
      </c>
      <c r="K3" s="1647"/>
      <c r="L3" s="1646" t="s">
        <v>168</v>
      </c>
      <c r="M3" s="1648"/>
      <c r="N3" s="1647" t="s">
        <v>446</v>
      </c>
      <c r="O3" s="1647"/>
      <c r="P3" s="1646" t="s">
        <v>169</v>
      </c>
      <c r="Q3" s="1648"/>
      <c r="R3" s="1647" t="s">
        <v>170</v>
      </c>
      <c r="S3" s="1647"/>
      <c r="T3" s="1646" t="s">
        <v>171</v>
      </c>
      <c r="U3" s="1647"/>
      <c r="V3" s="1646" t="s">
        <v>172</v>
      </c>
      <c r="W3" s="1648"/>
      <c r="X3" s="1647" t="s">
        <v>173</v>
      </c>
      <c r="Y3" s="1647"/>
      <c r="Z3" s="1646" t="s">
        <v>526</v>
      </c>
      <c r="AA3" s="1648"/>
      <c r="AB3" s="1647" t="s">
        <v>174</v>
      </c>
      <c r="AC3" s="1648"/>
      <c r="AD3" s="1647" t="s">
        <v>175</v>
      </c>
      <c r="AE3" s="1647"/>
      <c r="AF3" s="1646" t="s">
        <v>176</v>
      </c>
      <c r="AG3" s="1648"/>
      <c r="AH3" s="1647" t="s">
        <v>177</v>
      </c>
      <c r="AI3" s="1647"/>
      <c r="AJ3" s="1646" t="s">
        <v>178</v>
      </c>
      <c r="AK3" s="1647"/>
      <c r="AL3" s="1643" t="s">
        <v>179</v>
      </c>
      <c r="AM3" s="1644"/>
      <c r="AN3" s="1646" t="s">
        <v>180</v>
      </c>
      <c r="AO3" s="1647"/>
      <c r="AP3" s="1646" t="s">
        <v>181</v>
      </c>
      <c r="AQ3" s="1647"/>
      <c r="AR3" s="1646" t="s">
        <v>182</v>
      </c>
      <c r="AS3" s="1647"/>
      <c r="AT3" s="1646" t="s">
        <v>183</v>
      </c>
      <c r="AU3" s="1647"/>
      <c r="AV3" s="1646" t="s">
        <v>1</v>
      </c>
      <c r="AW3" s="1647"/>
      <c r="AX3" s="1646" t="s">
        <v>184</v>
      </c>
      <c r="AY3" s="1647"/>
      <c r="AZ3" s="1634" t="s">
        <v>2</v>
      </c>
      <c r="BA3" s="1645"/>
    </row>
    <row r="4" spans="1:53" s="572" customFormat="1" ht="15" customHeight="1" thickBot="1">
      <c r="A4" s="1652"/>
      <c r="B4" s="570" t="s">
        <v>520</v>
      </c>
      <c r="C4" s="529" t="s">
        <v>378</v>
      </c>
      <c r="D4" s="570" t="s">
        <v>520</v>
      </c>
      <c r="E4" s="529" t="s">
        <v>378</v>
      </c>
      <c r="F4" s="570" t="s">
        <v>520</v>
      </c>
      <c r="G4" s="529" t="s">
        <v>378</v>
      </c>
      <c r="H4" s="570" t="s">
        <v>520</v>
      </c>
      <c r="I4" s="529" t="s">
        <v>378</v>
      </c>
      <c r="J4" s="570" t="s">
        <v>520</v>
      </c>
      <c r="K4" s="529" t="s">
        <v>378</v>
      </c>
      <c r="L4" s="570" t="s">
        <v>520</v>
      </c>
      <c r="M4" s="529" t="s">
        <v>378</v>
      </c>
      <c r="N4" s="570" t="s">
        <v>520</v>
      </c>
      <c r="O4" s="529" t="s">
        <v>378</v>
      </c>
      <c r="P4" s="570" t="s">
        <v>520</v>
      </c>
      <c r="Q4" s="529" t="s">
        <v>378</v>
      </c>
      <c r="R4" s="570" t="s">
        <v>520</v>
      </c>
      <c r="S4" s="529" t="s">
        <v>378</v>
      </c>
      <c r="T4" s="570" t="s">
        <v>520</v>
      </c>
      <c r="U4" s="571" t="s">
        <v>378</v>
      </c>
      <c r="V4" s="570" t="s">
        <v>520</v>
      </c>
      <c r="W4" s="529" t="s">
        <v>378</v>
      </c>
      <c r="X4" s="571" t="s">
        <v>520</v>
      </c>
      <c r="Y4" s="571" t="s">
        <v>378</v>
      </c>
      <c r="Z4" s="570" t="s">
        <v>520</v>
      </c>
      <c r="AA4" s="529" t="s">
        <v>378</v>
      </c>
      <c r="AB4" s="571" t="s">
        <v>520</v>
      </c>
      <c r="AC4" s="529" t="s">
        <v>378</v>
      </c>
      <c r="AD4" s="570" t="s">
        <v>520</v>
      </c>
      <c r="AE4" s="529" t="s">
        <v>378</v>
      </c>
      <c r="AF4" s="570" t="s">
        <v>520</v>
      </c>
      <c r="AG4" s="529" t="s">
        <v>378</v>
      </c>
      <c r="AH4" s="570" t="s">
        <v>520</v>
      </c>
      <c r="AI4" s="529" t="s">
        <v>378</v>
      </c>
      <c r="AJ4" s="570" t="s">
        <v>520</v>
      </c>
      <c r="AK4" s="529" t="s">
        <v>378</v>
      </c>
      <c r="AL4" s="570" t="s">
        <v>520</v>
      </c>
      <c r="AM4" s="529" t="s">
        <v>378</v>
      </c>
      <c r="AN4" s="570" t="s">
        <v>520</v>
      </c>
      <c r="AO4" s="529" t="s">
        <v>378</v>
      </c>
      <c r="AP4" s="570" t="s">
        <v>520</v>
      </c>
      <c r="AQ4" s="529" t="s">
        <v>378</v>
      </c>
      <c r="AR4" s="570" t="s">
        <v>520</v>
      </c>
      <c r="AS4" s="529" t="s">
        <v>378</v>
      </c>
      <c r="AT4" s="570" t="s">
        <v>520</v>
      </c>
      <c r="AU4" s="529" t="s">
        <v>378</v>
      </c>
      <c r="AV4" s="570" t="s">
        <v>520</v>
      </c>
      <c r="AW4" s="529" t="s">
        <v>378</v>
      </c>
      <c r="AX4" s="570" t="s">
        <v>520</v>
      </c>
      <c r="AY4" s="529" t="s">
        <v>378</v>
      </c>
      <c r="AZ4" s="570" t="s">
        <v>520</v>
      </c>
      <c r="BA4" s="529" t="s">
        <v>378</v>
      </c>
    </row>
    <row r="5" spans="1:53" ht="15" customHeight="1">
      <c r="A5" s="747" t="s">
        <v>76</v>
      </c>
      <c r="B5" s="735">
        <v>7009204</v>
      </c>
      <c r="C5" s="737">
        <v>7063289</v>
      </c>
      <c r="D5" s="738">
        <v>752738</v>
      </c>
      <c r="E5" s="737">
        <v>834315</v>
      </c>
      <c r="F5" s="736">
        <v>1546694</v>
      </c>
      <c r="G5" s="737">
        <v>1569563</v>
      </c>
      <c r="H5" s="736">
        <v>11930823</v>
      </c>
      <c r="I5" s="737">
        <v>10614600</v>
      </c>
      <c r="J5" s="736">
        <v>3422432</v>
      </c>
      <c r="K5" s="737">
        <v>2807996</v>
      </c>
      <c r="L5" s="736">
        <v>3451678</v>
      </c>
      <c r="M5" s="737">
        <v>3013282</v>
      </c>
      <c r="N5" s="736">
        <v>1626808</v>
      </c>
      <c r="O5" s="737">
        <v>2043511</v>
      </c>
      <c r="P5" s="736">
        <v>3033524</v>
      </c>
      <c r="Q5" s="737">
        <v>3147149</v>
      </c>
      <c r="R5" s="736">
        <v>3029946</v>
      </c>
      <c r="S5" s="737">
        <v>3618048</v>
      </c>
      <c r="T5" s="736">
        <v>4150186</v>
      </c>
      <c r="U5" s="739">
        <v>3570666</v>
      </c>
      <c r="V5" s="735">
        <v>16755832</v>
      </c>
      <c r="W5" s="737">
        <v>16769613</v>
      </c>
      <c r="X5" s="738">
        <v>9924576</v>
      </c>
      <c r="Y5" s="739">
        <v>10307365</v>
      </c>
      <c r="Z5" s="735">
        <v>1303494</v>
      </c>
      <c r="AA5" s="737">
        <v>1194402</v>
      </c>
      <c r="AB5" s="738">
        <v>2814471.68</v>
      </c>
      <c r="AC5" s="737">
        <v>2254002</v>
      </c>
      <c r="AD5" s="736">
        <v>10039536</v>
      </c>
      <c r="AE5" s="737">
        <v>8529826</v>
      </c>
      <c r="AF5" s="736">
        <v>16204359</v>
      </c>
      <c r="AG5" s="737">
        <v>12326877</v>
      </c>
      <c r="AH5" s="736"/>
      <c r="AI5" s="739">
        <v>5843195</v>
      </c>
      <c r="AJ5" s="735">
        <v>7117391</v>
      </c>
      <c r="AK5" s="739">
        <v>6681377</v>
      </c>
      <c r="AL5" s="740"/>
      <c r="AM5" s="740"/>
      <c r="AN5" s="1082">
        <v>14909750</v>
      </c>
      <c r="AO5" s="1078">
        <v>13613835</v>
      </c>
      <c r="AP5" s="735">
        <v>3368640</v>
      </c>
      <c r="AQ5" s="739">
        <v>3321260</v>
      </c>
      <c r="AR5" s="735">
        <v>2541411</v>
      </c>
      <c r="AS5" s="739">
        <v>2271900</v>
      </c>
      <c r="AT5" s="735">
        <v>6966214</v>
      </c>
      <c r="AU5" s="739">
        <v>6396755</v>
      </c>
      <c r="AV5" s="735">
        <f aca="true" t="shared" si="0" ref="AV5:AV38">SUM(B5+D5+F5+H5+J5+L5+N5+P5+R5+T5+V5+X5+Z5+AB5+AD5+AF5+AH5+AJ5+AL5+AN5+AP5+AR5+AT5)</f>
        <v>131899707.68</v>
      </c>
      <c r="AW5" s="740">
        <f aca="true" t="shared" si="1" ref="AW5:AW38">SUM(C5+E5+G5+I5+K5+M5+O5+Q5+S5+U5+W5+Y5+AA5+AC5+AE5+AG5+AI5+AK5+AM5+AO5+AQ5+AS5+AU5)</f>
        <v>127792826</v>
      </c>
      <c r="AX5" s="735">
        <v>267551790</v>
      </c>
      <c r="AY5" s="739">
        <v>250897742</v>
      </c>
      <c r="AZ5" s="735">
        <f aca="true" t="shared" si="2" ref="AZ5:AZ38">AV5+AX5</f>
        <v>399451497.68</v>
      </c>
      <c r="BA5" s="741">
        <f aca="true" t="shared" si="3" ref="BA5:BA38">AW5+AY5</f>
        <v>378690568</v>
      </c>
    </row>
    <row r="6" spans="1:53" ht="16.5">
      <c r="A6" s="184" t="s">
        <v>77</v>
      </c>
      <c r="B6" s="185">
        <v>76967</v>
      </c>
      <c r="C6" s="187">
        <v>231716</v>
      </c>
      <c r="D6" s="188">
        <v>4443</v>
      </c>
      <c r="E6" s="190">
        <v>51650</v>
      </c>
      <c r="F6" s="189">
        <v>5277</v>
      </c>
      <c r="G6" s="190">
        <v>35908</v>
      </c>
      <c r="H6" s="189">
        <v>82595</v>
      </c>
      <c r="I6" s="190">
        <v>325545</v>
      </c>
      <c r="J6" s="189">
        <v>36034</v>
      </c>
      <c r="K6" s="190">
        <v>116641</v>
      </c>
      <c r="L6" s="189">
        <v>135148</v>
      </c>
      <c r="M6" s="190">
        <v>161250</v>
      </c>
      <c r="N6" s="189">
        <v>3870</v>
      </c>
      <c r="O6" s="190">
        <v>44263</v>
      </c>
      <c r="P6" s="189">
        <v>61718</v>
      </c>
      <c r="Q6" s="190">
        <v>172688</v>
      </c>
      <c r="R6" s="189">
        <v>23837</v>
      </c>
      <c r="S6" s="190">
        <v>177423</v>
      </c>
      <c r="T6" s="189">
        <v>22185</v>
      </c>
      <c r="U6" s="409">
        <v>279078</v>
      </c>
      <c r="V6" s="198">
        <v>52989</v>
      </c>
      <c r="W6" s="190">
        <v>343887</v>
      </c>
      <c r="X6" s="188">
        <v>103238</v>
      </c>
      <c r="Y6" s="409">
        <v>541236</v>
      </c>
      <c r="Z6" s="411">
        <v>19123</v>
      </c>
      <c r="AA6" s="648">
        <v>52466</v>
      </c>
      <c r="AB6" s="188">
        <v>101400.55</v>
      </c>
      <c r="AC6" s="190">
        <v>167210</v>
      </c>
      <c r="AD6" s="189">
        <v>84365</v>
      </c>
      <c r="AE6" s="190">
        <v>214244</v>
      </c>
      <c r="AF6" s="189">
        <v>276383</v>
      </c>
      <c r="AG6" s="190">
        <v>673829</v>
      </c>
      <c r="AH6" s="189"/>
      <c r="AI6" s="409">
        <v>144734</v>
      </c>
      <c r="AJ6" s="198">
        <v>11322</v>
      </c>
      <c r="AK6" s="409">
        <v>183691</v>
      </c>
      <c r="AL6" s="1086"/>
      <c r="AM6" s="1086"/>
      <c r="AN6" s="1083">
        <v>518853</v>
      </c>
      <c r="AO6" s="1079">
        <v>721254</v>
      </c>
      <c r="AP6" s="717">
        <v>151083</v>
      </c>
      <c r="AQ6" s="1075">
        <v>238527</v>
      </c>
      <c r="AR6" s="195">
        <v>34514</v>
      </c>
      <c r="AS6" s="573">
        <v>68303</v>
      </c>
      <c r="AT6" s="198">
        <v>173681</v>
      </c>
      <c r="AU6" s="409">
        <v>442486</v>
      </c>
      <c r="AV6" s="199">
        <f t="shared" si="0"/>
        <v>1979025.55</v>
      </c>
      <c r="AW6" s="574">
        <f t="shared" si="1"/>
        <v>5388029</v>
      </c>
      <c r="AX6" s="195">
        <v>1930248</v>
      </c>
      <c r="AY6" s="573">
        <v>3004930</v>
      </c>
      <c r="AZ6" s="199">
        <f t="shared" si="2"/>
        <v>3909273.55</v>
      </c>
      <c r="BA6" s="1069">
        <f t="shared" si="3"/>
        <v>8392959</v>
      </c>
    </row>
    <row r="7" spans="1:53" ht="16.5">
      <c r="A7" s="184" t="s">
        <v>78</v>
      </c>
      <c r="B7" s="185">
        <v>83016</v>
      </c>
      <c r="C7" s="187">
        <v>184062</v>
      </c>
      <c r="D7" s="188">
        <v>2122</v>
      </c>
      <c r="E7" s="190">
        <v>3423</v>
      </c>
      <c r="F7" s="189">
        <v>1912</v>
      </c>
      <c r="G7" s="190">
        <v>18038</v>
      </c>
      <c r="H7" s="189">
        <v>58277</v>
      </c>
      <c r="I7" s="190">
        <v>308847</v>
      </c>
      <c r="J7" s="189">
        <v>9988</v>
      </c>
      <c r="K7" s="190">
        <v>12875</v>
      </c>
      <c r="L7" s="189">
        <v>117600</v>
      </c>
      <c r="M7" s="190">
        <v>237849</v>
      </c>
      <c r="N7" s="189">
        <v>8431</v>
      </c>
      <c r="O7" s="190">
        <v>14350</v>
      </c>
      <c r="P7" s="189">
        <v>19944</v>
      </c>
      <c r="Q7" s="190">
        <v>127345</v>
      </c>
      <c r="R7" s="189"/>
      <c r="S7" s="190"/>
      <c r="T7" s="189">
        <v>97465</v>
      </c>
      <c r="U7" s="409">
        <v>129783</v>
      </c>
      <c r="V7" s="198">
        <v>952650</v>
      </c>
      <c r="W7" s="190">
        <v>1156945</v>
      </c>
      <c r="X7" s="188">
        <v>42511</v>
      </c>
      <c r="Y7" s="409">
        <v>87563</v>
      </c>
      <c r="Z7" s="411">
        <v>1801</v>
      </c>
      <c r="AA7" s="648">
        <v>8471</v>
      </c>
      <c r="AB7" s="188">
        <v>82559.81</v>
      </c>
      <c r="AC7" s="190">
        <v>124414</v>
      </c>
      <c r="AD7" s="189"/>
      <c r="AE7" s="190"/>
      <c r="AF7" s="189">
        <v>895158</v>
      </c>
      <c r="AG7" s="190">
        <v>1475842</v>
      </c>
      <c r="AH7" s="189"/>
      <c r="AI7" s="409">
        <v>126328</v>
      </c>
      <c r="AJ7" s="198">
        <v>98481</v>
      </c>
      <c r="AK7" s="409">
        <v>118552</v>
      </c>
      <c r="AL7" s="1086"/>
      <c r="AM7" s="1086"/>
      <c r="AN7" s="1083">
        <v>417030</v>
      </c>
      <c r="AO7" s="1079">
        <v>616779</v>
      </c>
      <c r="AP7" s="717">
        <v>33875</v>
      </c>
      <c r="AQ7" s="1075">
        <v>105891</v>
      </c>
      <c r="AR7" s="195">
        <v>49474</v>
      </c>
      <c r="AS7" s="573">
        <v>167492</v>
      </c>
      <c r="AT7" s="198">
        <v>106345</v>
      </c>
      <c r="AU7" s="409">
        <v>567961</v>
      </c>
      <c r="AV7" s="199">
        <f t="shared" si="0"/>
        <v>3078639.81</v>
      </c>
      <c r="AW7" s="574">
        <f t="shared" si="1"/>
        <v>5592810</v>
      </c>
      <c r="AX7" s="195">
        <v>90724</v>
      </c>
      <c r="AY7" s="573">
        <v>491378</v>
      </c>
      <c r="AZ7" s="199">
        <f t="shared" si="2"/>
        <v>3169363.81</v>
      </c>
      <c r="BA7" s="1069">
        <f t="shared" si="3"/>
        <v>6084188</v>
      </c>
    </row>
    <row r="8" spans="1:53" ht="16.5">
      <c r="A8" s="184" t="s">
        <v>79</v>
      </c>
      <c r="B8" s="185">
        <v>537680</v>
      </c>
      <c r="C8" s="187">
        <v>548408</v>
      </c>
      <c r="D8" s="188">
        <v>82428</v>
      </c>
      <c r="E8" s="190">
        <v>88347</v>
      </c>
      <c r="F8" s="189">
        <v>320736</v>
      </c>
      <c r="G8" s="190">
        <v>323079</v>
      </c>
      <c r="H8" s="200">
        <f>266891+305053</f>
        <v>571944</v>
      </c>
      <c r="I8" s="190">
        <v>316790</v>
      </c>
      <c r="J8" s="189">
        <v>257002</v>
      </c>
      <c r="K8" s="190">
        <v>190577</v>
      </c>
      <c r="L8" s="189">
        <v>377634</v>
      </c>
      <c r="M8" s="190">
        <v>230879</v>
      </c>
      <c r="N8" s="189">
        <v>187650</v>
      </c>
      <c r="O8" s="190">
        <v>196767</v>
      </c>
      <c r="P8" s="189">
        <v>234385</v>
      </c>
      <c r="Q8" s="190">
        <v>254507</v>
      </c>
      <c r="R8" s="189">
        <v>442943</v>
      </c>
      <c r="S8" s="190">
        <v>444228</v>
      </c>
      <c r="T8" s="189">
        <v>264552</v>
      </c>
      <c r="U8" s="409">
        <v>304222</v>
      </c>
      <c r="V8" s="198">
        <v>1029008</v>
      </c>
      <c r="W8" s="190">
        <v>767341</v>
      </c>
      <c r="X8" s="188">
        <v>1737579</v>
      </c>
      <c r="Y8" s="409">
        <v>1917467</v>
      </c>
      <c r="Z8" s="411">
        <v>84192</v>
      </c>
      <c r="AA8" s="648">
        <v>81486</v>
      </c>
      <c r="AB8" s="188">
        <v>188452.22</v>
      </c>
      <c r="AC8" s="190">
        <v>153286</v>
      </c>
      <c r="AD8" s="189">
        <v>497763</v>
      </c>
      <c r="AE8" s="190">
        <v>535509</v>
      </c>
      <c r="AF8" s="189">
        <v>864225</v>
      </c>
      <c r="AG8" s="190">
        <v>869359</v>
      </c>
      <c r="AH8" s="189"/>
      <c r="AI8" s="409">
        <v>536087</v>
      </c>
      <c r="AJ8" s="198">
        <f>445359+228059</f>
        <v>673418</v>
      </c>
      <c r="AK8" s="409">
        <f>479240+224149</f>
        <v>703389</v>
      </c>
      <c r="AL8" s="1086"/>
      <c r="AM8" s="1086"/>
      <c r="AN8" s="1083">
        <v>886040</v>
      </c>
      <c r="AO8" s="1079">
        <v>814434</v>
      </c>
      <c r="AP8" s="717">
        <v>159867</v>
      </c>
      <c r="AQ8" s="1075">
        <v>219928</v>
      </c>
      <c r="AR8" s="195">
        <v>155109</v>
      </c>
      <c r="AS8" s="573">
        <v>157559</v>
      </c>
      <c r="AT8" s="198">
        <v>293422</v>
      </c>
      <c r="AU8" s="409">
        <v>321450</v>
      </c>
      <c r="AV8" s="199">
        <f t="shared" si="0"/>
        <v>9846029.219999999</v>
      </c>
      <c r="AW8" s="574">
        <f t="shared" si="1"/>
        <v>9975099</v>
      </c>
      <c r="AX8" s="195">
        <v>6027271</v>
      </c>
      <c r="AY8" s="573">
        <v>5427225</v>
      </c>
      <c r="AZ8" s="199">
        <f t="shared" si="2"/>
        <v>15873300.219999999</v>
      </c>
      <c r="BA8" s="1069">
        <f t="shared" si="3"/>
        <v>15402324</v>
      </c>
    </row>
    <row r="9" spans="1:53" ht="16.5">
      <c r="A9" s="184" t="s">
        <v>80</v>
      </c>
      <c r="B9" s="185">
        <v>238085</v>
      </c>
      <c r="C9" s="187">
        <v>256754</v>
      </c>
      <c r="D9" s="188">
        <v>1284</v>
      </c>
      <c r="E9" s="190">
        <v>5767</v>
      </c>
      <c r="F9" s="189">
        <v>114931</v>
      </c>
      <c r="G9" s="190">
        <v>122439</v>
      </c>
      <c r="H9" s="189">
        <v>106640</v>
      </c>
      <c r="I9" s="190">
        <v>107672</v>
      </c>
      <c r="J9" s="189">
        <v>28230</v>
      </c>
      <c r="K9" s="190">
        <v>33641</v>
      </c>
      <c r="L9" s="189">
        <v>22518</v>
      </c>
      <c r="M9" s="190">
        <v>28702</v>
      </c>
      <c r="N9" s="189">
        <v>66230</v>
      </c>
      <c r="O9" s="190">
        <v>71874</v>
      </c>
      <c r="P9" s="189">
        <v>97943</v>
      </c>
      <c r="Q9" s="190">
        <v>119249</v>
      </c>
      <c r="R9" s="189">
        <v>349580</v>
      </c>
      <c r="S9" s="190">
        <v>409728</v>
      </c>
      <c r="T9" s="189">
        <v>113770</v>
      </c>
      <c r="U9" s="409">
        <v>134473</v>
      </c>
      <c r="V9" s="198">
        <v>55048</v>
      </c>
      <c r="W9" s="190">
        <v>43412</v>
      </c>
      <c r="X9" s="188">
        <v>348555</v>
      </c>
      <c r="Y9" s="409">
        <v>372924</v>
      </c>
      <c r="Z9" s="411">
        <f>2024+41478</f>
        <v>43502</v>
      </c>
      <c r="AA9" s="648">
        <v>1714</v>
      </c>
      <c r="AB9" s="188">
        <v>28584.73</v>
      </c>
      <c r="AC9" s="190">
        <v>35919</v>
      </c>
      <c r="AD9" s="189">
        <v>178015</v>
      </c>
      <c r="AE9" s="190">
        <v>220078</v>
      </c>
      <c r="AF9" s="189">
        <v>326412</v>
      </c>
      <c r="AG9" s="190">
        <v>392937</v>
      </c>
      <c r="AH9" s="189"/>
      <c r="AI9" s="409">
        <v>10017</v>
      </c>
      <c r="AJ9" s="198">
        <v>16261</v>
      </c>
      <c r="AK9" s="409">
        <v>11463</v>
      </c>
      <c r="AL9" s="1086"/>
      <c r="AM9" s="1086"/>
      <c r="AN9" s="1083">
        <v>738242</v>
      </c>
      <c r="AO9" s="1079">
        <v>675485</v>
      </c>
      <c r="AP9" s="717">
        <v>2328</v>
      </c>
      <c r="AQ9" s="1075">
        <v>3858</v>
      </c>
      <c r="AR9" s="195">
        <v>138182</v>
      </c>
      <c r="AS9" s="573">
        <v>143515</v>
      </c>
      <c r="AT9" s="198">
        <v>196624</v>
      </c>
      <c r="AU9" s="409">
        <v>227968</v>
      </c>
      <c r="AV9" s="199">
        <f t="shared" si="0"/>
        <v>3210964.73</v>
      </c>
      <c r="AW9" s="574">
        <f t="shared" si="1"/>
        <v>3429589</v>
      </c>
      <c r="AX9" s="195">
        <v>1655204</v>
      </c>
      <c r="AY9" s="573">
        <v>1329974</v>
      </c>
      <c r="AZ9" s="199">
        <f t="shared" si="2"/>
        <v>4866168.73</v>
      </c>
      <c r="BA9" s="1069">
        <f t="shared" si="3"/>
        <v>4759563</v>
      </c>
    </row>
    <row r="10" spans="1:53" ht="16.5">
      <c r="A10" s="184" t="s">
        <v>81</v>
      </c>
      <c r="B10" s="185">
        <v>31323</v>
      </c>
      <c r="C10" s="187">
        <v>46008</v>
      </c>
      <c r="D10" s="188">
        <v>3500</v>
      </c>
      <c r="E10" s="190">
        <v>7243</v>
      </c>
      <c r="F10" s="189">
        <v>12176</v>
      </c>
      <c r="G10" s="190">
        <v>13880</v>
      </c>
      <c r="H10" s="200">
        <v>46552</v>
      </c>
      <c r="I10" s="190">
        <v>64079</v>
      </c>
      <c r="J10" s="189">
        <v>23161</v>
      </c>
      <c r="K10" s="190">
        <v>69211</v>
      </c>
      <c r="L10" s="189">
        <v>19610</v>
      </c>
      <c r="M10" s="190">
        <v>22766</v>
      </c>
      <c r="N10" s="189">
        <v>2989</v>
      </c>
      <c r="O10" s="190">
        <v>3557</v>
      </c>
      <c r="P10" s="189">
        <v>19670</v>
      </c>
      <c r="Q10" s="190">
        <v>30786</v>
      </c>
      <c r="R10" s="189">
        <v>17181</v>
      </c>
      <c r="S10" s="190">
        <v>28842</v>
      </c>
      <c r="T10" s="189">
        <v>6295</v>
      </c>
      <c r="U10" s="409">
        <v>18056</v>
      </c>
      <c r="V10" s="198">
        <v>86900</v>
      </c>
      <c r="W10" s="190">
        <v>127464</v>
      </c>
      <c r="X10" s="188">
        <v>43482</v>
      </c>
      <c r="Y10" s="409">
        <v>80077</v>
      </c>
      <c r="Z10" s="411">
        <v>11809</v>
      </c>
      <c r="AA10" s="648">
        <v>20119</v>
      </c>
      <c r="AB10" s="188">
        <v>11715.14</v>
      </c>
      <c r="AC10" s="190">
        <v>17621</v>
      </c>
      <c r="AD10" s="454">
        <v>70555</v>
      </c>
      <c r="AE10" s="743">
        <v>121318</v>
      </c>
      <c r="AF10" s="189">
        <v>68551</v>
      </c>
      <c r="AG10" s="190">
        <v>108120</v>
      </c>
      <c r="AH10" s="189"/>
      <c r="AI10" s="409">
        <v>40523</v>
      </c>
      <c r="AJ10" s="198">
        <v>27961</v>
      </c>
      <c r="AK10" s="409">
        <v>37348</v>
      </c>
      <c r="AL10" s="1086"/>
      <c r="AM10" s="1086"/>
      <c r="AN10" s="1083">
        <v>76548</v>
      </c>
      <c r="AO10" s="1079">
        <v>162174</v>
      </c>
      <c r="AP10" s="717">
        <v>34147</v>
      </c>
      <c r="AQ10" s="1075">
        <v>63743</v>
      </c>
      <c r="AR10" s="195">
        <v>9642</v>
      </c>
      <c r="AS10" s="573">
        <v>15219</v>
      </c>
      <c r="AT10" s="198">
        <v>40315</v>
      </c>
      <c r="AU10" s="409">
        <v>53992</v>
      </c>
      <c r="AV10" s="185">
        <f t="shared" si="0"/>
        <v>664082.14</v>
      </c>
      <c r="AW10" s="725">
        <f t="shared" si="1"/>
        <v>1152146</v>
      </c>
      <c r="AX10" s="198">
        <v>1341960</v>
      </c>
      <c r="AY10" s="409">
        <v>1299751</v>
      </c>
      <c r="AZ10" s="185">
        <f t="shared" si="2"/>
        <v>2006042.1400000001</v>
      </c>
      <c r="BA10" s="728">
        <f t="shared" si="3"/>
        <v>2451897</v>
      </c>
    </row>
    <row r="11" spans="1:53" ht="16.5">
      <c r="A11" s="184" t="s">
        <v>82</v>
      </c>
      <c r="B11" s="185">
        <v>93885</v>
      </c>
      <c r="C11" s="187">
        <v>110417</v>
      </c>
      <c r="D11" s="188">
        <v>11917</v>
      </c>
      <c r="E11" s="190">
        <v>14497</v>
      </c>
      <c r="F11" s="189">
        <v>44768</v>
      </c>
      <c r="G11" s="190">
        <v>36274</v>
      </c>
      <c r="H11" s="189">
        <v>612477</v>
      </c>
      <c r="I11" s="190">
        <v>777215</v>
      </c>
      <c r="J11" s="189">
        <v>26502</v>
      </c>
      <c r="K11" s="190">
        <v>24153</v>
      </c>
      <c r="L11" s="189">
        <v>359649</v>
      </c>
      <c r="M11" s="190">
        <v>210594</v>
      </c>
      <c r="N11" s="189">
        <v>25913</v>
      </c>
      <c r="O11" s="190">
        <v>37507</v>
      </c>
      <c r="P11" s="189">
        <v>37396</v>
      </c>
      <c r="Q11" s="190">
        <v>65908</v>
      </c>
      <c r="R11" s="189">
        <v>36341</v>
      </c>
      <c r="S11" s="190">
        <v>38519</v>
      </c>
      <c r="T11" s="189">
        <v>47586</v>
      </c>
      <c r="U11" s="409">
        <v>72300</v>
      </c>
      <c r="V11" s="198">
        <v>203446</v>
      </c>
      <c r="W11" s="190">
        <v>253648</v>
      </c>
      <c r="X11" s="188">
        <v>1195143</v>
      </c>
      <c r="Y11" s="409">
        <v>1301074</v>
      </c>
      <c r="Z11" s="198">
        <v>32005</v>
      </c>
      <c r="AA11" s="190">
        <v>33227</v>
      </c>
      <c r="AB11" s="188">
        <v>82608.89</v>
      </c>
      <c r="AC11" s="190">
        <v>78694</v>
      </c>
      <c r="AD11" s="189">
        <v>114492</v>
      </c>
      <c r="AE11" s="190">
        <v>124151</v>
      </c>
      <c r="AF11" s="189">
        <v>733288</v>
      </c>
      <c r="AG11" s="190">
        <v>597648</v>
      </c>
      <c r="AH11" s="189"/>
      <c r="AI11" s="409">
        <v>128798</v>
      </c>
      <c r="AJ11" s="198">
        <v>84830</v>
      </c>
      <c r="AK11" s="409">
        <v>115453</v>
      </c>
      <c r="AL11" s="1086"/>
      <c r="AM11" s="1086"/>
      <c r="AN11" s="1083">
        <v>427314</v>
      </c>
      <c r="AO11" s="1079">
        <v>533843</v>
      </c>
      <c r="AP11" s="717">
        <v>68613</v>
      </c>
      <c r="AQ11" s="1075">
        <v>75977</v>
      </c>
      <c r="AR11" s="195">
        <v>24761</v>
      </c>
      <c r="AS11" s="573">
        <v>30703</v>
      </c>
      <c r="AT11" s="198">
        <v>213643</v>
      </c>
      <c r="AU11" s="409">
        <v>171625</v>
      </c>
      <c r="AV11" s="199">
        <f t="shared" si="0"/>
        <v>4476577.890000001</v>
      </c>
      <c r="AW11" s="574">
        <f t="shared" si="1"/>
        <v>4832225</v>
      </c>
      <c r="AX11" s="195">
        <v>2440805</v>
      </c>
      <c r="AY11" s="573">
        <v>2263148</v>
      </c>
      <c r="AZ11" s="199">
        <f t="shared" si="2"/>
        <v>6917382.890000001</v>
      </c>
      <c r="BA11" s="1069">
        <f t="shared" si="3"/>
        <v>7095373</v>
      </c>
    </row>
    <row r="12" spans="1:53" ht="16.5">
      <c r="A12" s="184" t="s">
        <v>83</v>
      </c>
      <c r="B12" s="185">
        <v>105886</v>
      </c>
      <c r="C12" s="187">
        <v>114744</v>
      </c>
      <c r="D12" s="188">
        <v>27597</v>
      </c>
      <c r="E12" s="190">
        <v>54142</v>
      </c>
      <c r="F12" s="189">
        <v>123692</v>
      </c>
      <c r="G12" s="190">
        <v>128056</v>
      </c>
      <c r="H12" s="189">
        <v>972676</v>
      </c>
      <c r="I12" s="190">
        <v>698156</v>
      </c>
      <c r="J12" s="189">
        <v>318193</v>
      </c>
      <c r="K12" s="190">
        <v>327318</v>
      </c>
      <c r="L12" s="189">
        <v>129627</v>
      </c>
      <c r="M12" s="190">
        <v>112664</v>
      </c>
      <c r="N12" s="189">
        <v>129497</v>
      </c>
      <c r="O12" s="190">
        <v>163267</v>
      </c>
      <c r="P12" s="189">
        <v>133332</v>
      </c>
      <c r="Q12" s="190">
        <v>133416</v>
      </c>
      <c r="R12" s="189">
        <f>24437+613912</f>
        <v>638349</v>
      </c>
      <c r="S12" s="190">
        <f>11476+674917</f>
        <v>686393</v>
      </c>
      <c r="T12" s="189">
        <v>93893</v>
      </c>
      <c r="U12" s="409">
        <v>706391</v>
      </c>
      <c r="V12" s="198">
        <v>1818083</v>
      </c>
      <c r="W12" s="190">
        <v>2104950</v>
      </c>
      <c r="X12" s="188">
        <v>1722141</v>
      </c>
      <c r="Y12" s="409">
        <v>1391898</v>
      </c>
      <c r="Z12" s="198">
        <v>177108</v>
      </c>
      <c r="AA12" s="190">
        <v>189277</v>
      </c>
      <c r="AB12" s="188">
        <v>67989.89</v>
      </c>
      <c r="AC12" s="190">
        <v>80998</v>
      </c>
      <c r="AD12" s="189">
        <v>192688</v>
      </c>
      <c r="AE12" s="190">
        <v>234602</v>
      </c>
      <c r="AF12" s="189">
        <v>334515</v>
      </c>
      <c r="AG12" s="190">
        <v>526817</v>
      </c>
      <c r="AH12" s="189"/>
      <c r="AI12" s="409">
        <v>131708</v>
      </c>
      <c r="AJ12" s="198">
        <v>285308</v>
      </c>
      <c r="AK12" s="409">
        <v>246361</v>
      </c>
      <c r="AL12" s="1086"/>
      <c r="AM12" s="1086"/>
      <c r="AN12" s="1083">
        <v>1420729</v>
      </c>
      <c r="AO12" s="1079">
        <v>1641531</v>
      </c>
      <c r="AP12" s="717">
        <v>234711</v>
      </c>
      <c r="AQ12" s="1075">
        <v>189631</v>
      </c>
      <c r="AR12" s="195">
        <v>76382</v>
      </c>
      <c r="AS12" s="573">
        <v>74823</v>
      </c>
      <c r="AT12" s="198">
        <v>2568779</v>
      </c>
      <c r="AU12" s="409">
        <v>2006120</v>
      </c>
      <c r="AV12" s="199">
        <f t="shared" si="0"/>
        <v>11571175.89</v>
      </c>
      <c r="AW12" s="574">
        <f t="shared" si="1"/>
        <v>11943263</v>
      </c>
      <c r="AX12" s="195">
        <v>96963</v>
      </c>
      <c r="AY12" s="573">
        <v>136314</v>
      </c>
      <c r="AZ12" s="199">
        <f t="shared" si="2"/>
        <v>11668138.89</v>
      </c>
      <c r="BA12" s="1069">
        <f t="shared" si="3"/>
        <v>12079577</v>
      </c>
    </row>
    <row r="13" spans="1:53" ht="16.5">
      <c r="A13" s="184" t="s">
        <v>84</v>
      </c>
      <c r="B13" s="185">
        <v>108999</v>
      </c>
      <c r="C13" s="187">
        <v>112655</v>
      </c>
      <c r="D13" s="188">
        <v>39024</v>
      </c>
      <c r="E13" s="190">
        <v>38535</v>
      </c>
      <c r="F13" s="189">
        <v>3382</v>
      </c>
      <c r="G13" s="190">
        <v>5509</v>
      </c>
      <c r="H13" s="189">
        <v>145978</v>
      </c>
      <c r="I13" s="190"/>
      <c r="J13" s="189">
        <v>29130</v>
      </c>
      <c r="K13" s="190">
        <v>30113</v>
      </c>
      <c r="L13" s="189">
        <v>44868</v>
      </c>
      <c r="M13" s="190">
        <v>38025</v>
      </c>
      <c r="N13" s="189">
        <v>5013</v>
      </c>
      <c r="O13" s="190">
        <v>4224</v>
      </c>
      <c r="P13" s="189">
        <v>24507</v>
      </c>
      <c r="Q13" s="190">
        <v>38809</v>
      </c>
      <c r="R13" s="189">
        <v>33991</v>
      </c>
      <c r="S13" s="190">
        <v>41400</v>
      </c>
      <c r="T13" s="189">
        <v>11256</v>
      </c>
      <c r="U13" s="409">
        <v>19839</v>
      </c>
      <c r="V13" s="198">
        <v>203510</v>
      </c>
      <c r="W13" s="190">
        <v>220472</v>
      </c>
      <c r="X13" s="188">
        <v>315990</v>
      </c>
      <c r="Y13" s="409">
        <v>301698</v>
      </c>
      <c r="Z13" s="198">
        <v>5837</v>
      </c>
      <c r="AA13" s="190">
        <v>10828</v>
      </c>
      <c r="AB13" s="188">
        <v>34008.06</v>
      </c>
      <c r="AC13" s="190">
        <v>23319</v>
      </c>
      <c r="AD13" s="189">
        <v>104954</v>
      </c>
      <c r="AE13" s="190">
        <v>80847</v>
      </c>
      <c r="AF13" s="189">
        <v>384337</v>
      </c>
      <c r="AG13" s="190">
        <v>306707</v>
      </c>
      <c r="AH13" s="189"/>
      <c r="AI13" s="409">
        <v>75652</v>
      </c>
      <c r="AJ13" s="198">
        <v>13274</v>
      </c>
      <c r="AK13" s="409">
        <v>20309</v>
      </c>
      <c r="AL13" s="1086"/>
      <c r="AM13" s="1086"/>
      <c r="AN13" s="1083">
        <v>374193</v>
      </c>
      <c r="AO13" s="1079">
        <v>393745</v>
      </c>
      <c r="AP13" s="717">
        <v>6404</v>
      </c>
      <c r="AQ13" s="1075">
        <v>6463</v>
      </c>
      <c r="AR13" s="195">
        <v>18909</v>
      </c>
      <c r="AS13" s="573">
        <v>10462</v>
      </c>
      <c r="AT13" s="198">
        <v>322865</v>
      </c>
      <c r="AU13" s="409">
        <v>344653</v>
      </c>
      <c r="AV13" s="199">
        <f t="shared" si="0"/>
        <v>2230429.06</v>
      </c>
      <c r="AW13" s="574">
        <f t="shared" si="1"/>
        <v>2124264</v>
      </c>
      <c r="AX13" s="195">
        <v>579926</v>
      </c>
      <c r="AY13" s="573">
        <v>795237</v>
      </c>
      <c r="AZ13" s="199">
        <f t="shared" si="2"/>
        <v>2810355.06</v>
      </c>
      <c r="BA13" s="1069">
        <f t="shared" si="3"/>
        <v>2919501</v>
      </c>
    </row>
    <row r="14" spans="1:53" ht="16.5">
      <c r="A14" s="184" t="s">
        <v>85</v>
      </c>
      <c r="B14" s="185"/>
      <c r="C14" s="187"/>
      <c r="D14" s="188"/>
      <c r="E14" s="190"/>
      <c r="F14" s="189"/>
      <c r="G14" s="190"/>
      <c r="H14" s="189"/>
      <c r="I14" s="190"/>
      <c r="J14" s="189"/>
      <c r="K14" s="190"/>
      <c r="L14" s="189"/>
      <c r="M14" s="190"/>
      <c r="N14" s="189"/>
      <c r="O14" s="190"/>
      <c r="P14" s="189"/>
      <c r="Q14" s="190"/>
      <c r="R14" s="189"/>
      <c r="S14" s="190"/>
      <c r="T14" s="189"/>
      <c r="U14" s="409"/>
      <c r="V14" s="198"/>
      <c r="W14" s="190"/>
      <c r="X14" s="188"/>
      <c r="Y14" s="409"/>
      <c r="Z14" s="198"/>
      <c r="AA14" s="190"/>
      <c r="AB14" s="188"/>
      <c r="AC14" s="190"/>
      <c r="AD14" s="189"/>
      <c r="AE14" s="190"/>
      <c r="AF14" s="189"/>
      <c r="AG14" s="190"/>
      <c r="AH14" s="189"/>
      <c r="AI14" s="409"/>
      <c r="AJ14" s="198"/>
      <c r="AK14" s="409"/>
      <c r="AL14" s="1086"/>
      <c r="AM14" s="1086"/>
      <c r="AN14" s="198"/>
      <c r="AO14" s="409"/>
      <c r="AP14" s="717"/>
      <c r="AQ14" s="1075"/>
      <c r="AR14" s="195"/>
      <c r="AS14" s="573"/>
      <c r="AT14" s="198"/>
      <c r="AU14" s="409"/>
      <c r="AV14" s="199">
        <f t="shared" si="0"/>
        <v>0</v>
      </c>
      <c r="AW14" s="574">
        <f t="shared" si="1"/>
        <v>0</v>
      </c>
      <c r="AX14" s="195"/>
      <c r="AY14" s="573"/>
      <c r="AZ14" s="199">
        <f t="shared" si="2"/>
        <v>0</v>
      </c>
      <c r="BA14" s="1069">
        <f t="shared" si="3"/>
        <v>0</v>
      </c>
    </row>
    <row r="15" spans="1:53" ht="16.5">
      <c r="A15" s="184" t="s">
        <v>86</v>
      </c>
      <c r="B15" s="185">
        <v>9201</v>
      </c>
      <c r="C15" s="187">
        <v>9139</v>
      </c>
      <c r="D15" s="188">
        <v>3850</v>
      </c>
      <c r="E15" s="190">
        <v>3850</v>
      </c>
      <c r="F15" s="189">
        <v>5217</v>
      </c>
      <c r="G15" s="190">
        <v>5614</v>
      </c>
      <c r="H15" s="189">
        <v>9500</v>
      </c>
      <c r="I15" s="190">
        <v>9500</v>
      </c>
      <c r="J15" s="189">
        <v>6249</v>
      </c>
      <c r="K15" s="190">
        <v>6417</v>
      </c>
      <c r="L15" s="189">
        <v>4249</v>
      </c>
      <c r="M15" s="190">
        <v>4616</v>
      </c>
      <c r="N15" s="189">
        <v>3500</v>
      </c>
      <c r="O15" s="190">
        <v>3500</v>
      </c>
      <c r="P15" s="189">
        <v>2800</v>
      </c>
      <c r="Q15" s="190">
        <v>2800</v>
      </c>
      <c r="R15" s="189">
        <v>3700</v>
      </c>
      <c r="S15" s="190">
        <v>3700</v>
      </c>
      <c r="T15" s="189">
        <v>3500</v>
      </c>
      <c r="U15" s="409">
        <v>3500</v>
      </c>
      <c r="V15" s="198">
        <v>11400</v>
      </c>
      <c r="W15" s="190">
        <v>11400</v>
      </c>
      <c r="X15" s="188">
        <v>21551</v>
      </c>
      <c r="Y15" s="409">
        <v>19487</v>
      </c>
      <c r="Z15" s="411">
        <v>4428</v>
      </c>
      <c r="AA15" s="648">
        <v>4056</v>
      </c>
      <c r="AB15" s="188">
        <v>3272.06</v>
      </c>
      <c r="AC15" s="190">
        <v>3568</v>
      </c>
      <c r="AD15" s="454">
        <v>7847</v>
      </c>
      <c r="AE15" s="743">
        <v>7844</v>
      </c>
      <c r="AF15" s="189">
        <v>9031</v>
      </c>
      <c r="AG15" s="190">
        <v>9028</v>
      </c>
      <c r="AH15" s="189"/>
      <c r="AI15" s="409">
        <v>7000</v>
      </c>
      <c r="AJ15" s="198">
        <v>6609</v>
      </c>
      <c r="AK15" s="409">
        <v>6702</v>
      </c>
      <c r="AL15" s="1086"/>
      <c r="AM15" s="1086"/>
      <c r="AN15" s="1083">
        <v>5700</v>
      </c>
      <c r="AO15" s="1079">
        <v>5700</v>
      </c>
      <c r="AP15" s="717">
        <v>1700</v>
      </c>
      <c r="AQ15" s="1075">
        <v>1700</v>
      </c>
      <c r="AR15" s="195">
        <v>4043</v>
      </c>
      <c r="AS15" s="573">
        <v>7049</v>
      </c>
      <c r="AT15" s="198">
        <v>6400</v>
      </c>
      <c r="AU15" s="409">
        <v>6400</v>
      </c>
      <c r="AV15" s="185">
        <f t="shared" si="0"/>
        <v>133747.06</v>
      </c>
      <c r="AW15" s="725">
        <f t="shared" si="1"/>
        <v>142570</v>
      </c>
      <c r="AX15" s="198">
        <v>57457</v>
      </c>
      <c r="AY15" s="409">
        <v>74257</v>
      </c>
      <c r="AZ15" s="185">
        <f t="shared" si="2"/>
        <v>191204.06</v>
      </c>
      <c r="BA15" s="728">
        <f t="shared" si="3"/>
        <v>216827</v>
      </c>
    </row>
    <row r="16" spans="1:53" ht="16.5">
      <c r="A16" s="184" t="s">
        <v>87</v>
      </c>
      <c r="B16" s="185"/>
      <c r="C16" s="187"/>
      <c r="D16" s="188">
        <v>105</v>
      </c>
      <c r="E16" s="190">
        <v>36</v>
      </c>
      <c r="F16" s="189"/>
      <c r="G16" s="190"/>
      <c r="H16" s="189"/>
      <c r="I16" s="190"/>
      <c r="J16" s="189"/>
      <c r="K16" s="190"/>
      <c r="L16" s="189"/>
      <c r="M16" s="190"/>
      <c r="N16" s="189"/>
      <c r="O16" s="190"/>
      <c r="P16" s="189"/>
      <c r="Q16" s="190"/>
      <c r="R16" s="189"/>
      <c r="S16" s="190"/>
      <c r="T16" s="189"/>
      <c r="U16" s="409"/>
      <c r="V16" s="198"/>
      <c r="W16" s="190"/>
      <c r="X16" s="188"/>
      <c r="Y16" s="409"/>
      <c r="Z16" s="411"/>
      <c r="AA16" s="648"/>
      <c r="AB16" s="188"/>
      <c r="AC16" s="190"/>
      <c r="AD16" s="189"/>
      <c r="AE16" s="190"/>
      <c r="AF16" s="189"/>
      <c r="AG16" s="190"/>
      <c r="AH16" s="189"/>
      <c r="AI16" s="409"/>
      <c r="AJ16" s="198"/>
      <c r="AK16" s="409"/>
      <c r="AL16" s="1086"/>
      <c r="AM16" s="1086"/>
      <c r="AN16" s="1083"/>
      <c r="AO16" s="1079"/>
      <c r="AP16" s="717"/>
      <c r="AQ16" s="1075"/>
      <c r="AR16" s="195"/>
      <c r="AS16" s="573"/>
      <c r="AT16" s="198"/>
      <c r="AU16" s="409"/>
      <c r="AV16" s="199">
        <f t="shared" si="0"/>
        <v>105</v>
      </c>
      <c r="AW16" s="574">
        <f t="shared" si="1"/>
        <v>36</v>
      </c>
      <c r="AX16" s="198"/>
      <c r="AY16" s="409"/>
      <c r="AZ16" s="199">
        <f t="shared" si="2"/>
        <v>105</v>
      </c>
      <c r="BA16" s="1069">
        <f t="shared" si="3"/>
        <v>36</v>
      </c>
    </row>
    <row r="17" spans="1:53" ht="16.5">
      <c r="A17" s="184" t="s">
        <v>88</v>
      </c>
      <c r="B17" s="185"/>
      <c r="C17" s="187"/>
      <c r="D17" s="188"/>
      <c r="E17" s="190"/>
      <c r="F17" s="189"/>
      <c r="G17" s="190"/>
      <c r="H17" s="189">
        <v>400</v>
      </c>
      <c r="I17" s="190">
        <v>400</v>
      </c>
      <c r="J17" s="189">
        <v>1933</v>
      </c>
      <c r="K17" s="190">
        <v>1037</v>
      </c>
      <c r="L17" s="189">
        <v>350</v>
      </c>
      <c r="M17" s="190">
        <v>350</v>
      </c>
      <c r="N17" s="189">
        <v>350</v>
      </c>
      <c r="O17" s="190">
        <v>1350</v>
      </c>
      <c r="P17" s="189"/>
      <c r="Q17" s="190"/>
      <c r="R17" s="189">
        <v>150</v>
      </c>
      <c r="S17" s="190">
        <v>150</v>
      </c>
      <c r="T17" s="189"/>
      <c r="U17" s="409">
        <v>180</v>
      </c>
      <c r="V17" s="198">
        <v>156</v>
      </c>
      <c r="W17" s="190">
        <v>200</v>
      </c>
      <c r="X17" s="188"/>
      <c r="Y17" s="409"/>
      <c r="Z17" s="411"/>
      <c r="AA17" s="648"/>
      <c r="AB17" s="188"/>
      <c r="AC17" s="190"/>
      <c r="AD17" s="189"/>
      <c r="AE17" s="190"/>
      <c r="AF17" s="189">
        <v>400</v>
      </c>
      <c r="AG17" s="190">
        <v>401</v>
      </c>
      <c r="AH17" s="189"/>
      <c r="AI17" s="409"/>
      <c r="AJ17" s="198"/>
      <c r="AK17" s="409"/>
      <c r="AL17" s="1086"/>
      <c r="AM17" s="1086"/>
      <c r="AN17" s="198"/>
      <c r="AO17" s="409"/>
      <c r="AP17" s="717"/>
      <c r="AQ17" s="1075"/>
      <c r="AR17" s="195"/>
      <c r="AS17" s="573"/>
      <c r="AT17" s="198"/>
      <c r="AU17" s="409"/>
      <c r="AV17" s="199">
        <f t="shared" si="0"/>
        <v>3739</v>
      </c>
      <c r="AW17" s="574">
        <f t="shared" si="1"/>
        <v>4068</v>
      </c>
      <c r="AX17" s="198">
        <v>114</v>
      </c>
      <c r="AY17" s="409">
        <v>221</v>
      </c>
      <c r="AZ17" s="199">
        <f t="shared" si="2"/>
        <v>3853</v>
      </c>
      <c r="BA17" s="1069">
        <f t="shared" si="3"/>
        <v>4289</v>
      </c>
    </row>
    <row r="18" spans="1:53" ht="16.5">
      <c r="A18" s="184" t="s">
        <v>89</v>
      </c>
      <c r="B18" s="185"/>
      <c r="C18" s="187"/>
      <c r="D18" s="188"/>
      <c r="E18" s="190"/>
      <c r="F18" s="189"/>
      <c r="G18" s="190"/>
      <c r="H18" s="189"/>
      <c r="I18" s="190"/>
      <c r="J18" s="189"/>
      <c r="K18" s="190"/>
      <c r="L18" s="189"/>
      <c r="M18" s="190"/>
      <c r="N18" s="189"/>
      <c r="O18" s="190"/>
      <c r="P18" s="189"/>
      <c r="Q18" s="190"/>
      <c r="R18" s="189"/>
      <c r="S18" s="190"/>
      <c r="T18" s="189"/>
      <c r="U18" s="409"/>
      <c r="V18" s="198"/>
      <c r="W18" s="190"/>
      <c r="X18" s="188"/>
      <c r="Y18" s="409"/>
      <c r="Z18" s="411"/>
      <c r="AA18" s="648"/>
      <c r="AB18" s="188"/>
      <c r="AC18" s="190"/>
      <c r="AD18" s="189"/>
      <c r="AE18" s="190"/>
      <c r="AF18" s="189"/>
      <c r="AG18" s="190"/>
      <c r="AH18" s="189"/>
      <c r="AI18" s="409"/>
      <c r="AJ18" s="198"/>
      <c r="AK18" s="409"/>
      <c r="AL18" s="1086"/>
      <c r="AM18" s="1086"/>
      <c r="AN18" s="1083"/>
      <c r="AO18" s="1079"/>
      <c r="AP18" s="717"/>
      <c r="AQ18" s="1075"/>
      <c r="AR18" s="195"/>
      <c r="AS18" s="573"/>
      <c r="AT18" s="198"/>
      <c r="AU18" s="409"/>
      <c r="AV18" s="199">
        <f t="shared" si="0"/>
        <v>0</v>
      </c>
      <c r="AW18" s="574">
        <f t="shared" si="1"/>
        <v>0</v>
      </c>
      <c r="AX18" s="198"/>
      <c r="AY18" s="409"/>
      <c r="AZ18" s="199">
        <f t="shared" si="2"/>
        <v>0</v>
      </c>
      <c r="BA18" s="1069">
        <f t="shared" si="3"/>
        <v>0</v>
      </c>
    </row>
    <row r="19" spans="1:53" ht="16.5">
      <c r="A19" s="184" t="s">
        <v>90</v>
      </c>
      <c r="B19" s="185">
        <v>1200</v>
      </c>
      <c r="C19" s="187">
        <v>395</v>
      </c>
      <c r="D19" s="188"/>
      <c r="E19" s="190"/>
      <c r="F19" s="189"/>
      <c r="G19" s="190"/>
      <c r="H19" s="189"/>
      <c r="I19" s="190"/>
      <c r="J19" s="189"/>
      <c r="K19" s="190">
        <v>140</v>
      </c>
      <c r="L19" s="189"/>
      <c r="M19" s="190"/>
      <c r="N19" s="189"/>
      <c r="O19" s="190"/>
      <c r="P19" s="189"/>
      <c r="Q19" s="190"/>
      <c r="R19" s="189"/>
      <c r="S19" s="190"/>
      <c r="T19" s="189"/>
      <c r="U19" s="409"/>
      <c r="V19" s="198"/>
      <c r="W19" s="190"/>
      <c r="X19" s="188"/>
      <c r="Y19" s="409"/>
      <c r="Z19" s="411"/>
      <c r="AA19" s="648"/>
      <c r="AB19" s="188"/>
      <c r="AC19" s="190"/>
      <c r="AD19" s="189"/>
      <c r="AE19" s="190"/>
      <c r="AF19" s="189"/>
      <c r="AG19" s="190"/>
      <c r="AH19" s="189"/>
      <c r="AI19" s="409">
        <v>2429</v>
      </c>
      <c r="AJ19" s="198"/>
      <c r="AK19" s="409"/>
      <c r="AL19" s="1086"/>
      <c r="AM19" s="1086"/>
      <c r="AN19" s="1084"/>
      <c r="AO19" s="742"/>
      <c r="AP19" s="717"/>
      <c r="AQ19" s="1075"/>
      <c r="AR19" s="195"/>
      <c r="AS19" s="573"/>
      <c r="AT19" s="198"/>
      <c r="AU19" s="409"/>
      <c r="AV19" s="199">
        <f t="shared" si="0"/>
        <v>1200</v>
      </c>
      <c r="AW19" s="574">
        <f t="shared" si="1"/>
        <v>2964</v>
      </c>
      <c r="AX19" s="198"/>
      <c r="AY19" s="409"/>
      <c r="AZ19" s="199">
        <f t="shared" si="2"/>
        <v>1200</v>
      </c>
      <c r="BA19" s="1069">
        <f t="shared" si="3"/>
        <v>2964</v>
      </c>
    </row>
    <row r="20" spans="1:53" ht="16.5">
      <c r="A20" s="184" t="s">
        <v>91</v>
      </c>
      <c r="B20" s="185"/>
      <c r="C20" s="187"/>
      <c r="D20" s="188">
        <v>113</v>
      </c>
      <c r="E20" s="190">
        <v>63</v>
      </c>
      <c r="F20" s="189">
        <v>680</v>
      </c>
      <c r="G20" s="190">
        <v>1110</v>
      </c>
      <c r="H20" s="189">
        <v>2210</v>
      </c>
      <c r="I20" s="190">
        <v>1262</v>
      </c>
      <c r="J20" s="189"/>
      <c r="K20" s="190"/>
      <c r="L20" s="189">
        <v>1300</v>
      </c>
      <c r="M20" s="190">
        <v>440</v>
      </c>
      <c r="N20" s="189">
        <v>2248</v>
      </c>
      <c r="O20" s="190"/>
      <c r="P20" s="189">
        <v>713</v>
      </c>
      <c r="Q20" s="190">
        <v>763</v>
      </c>
      <c r="R20" s="189">
        <v>1735</v>
      </c>
      <c r="S20" s="190">
        <v>1573</v>
      </c>
      <c r="T20" s="189">
        <v>1969</v>
      </c>
      <c r="U20" s="409">
        <v>531</v>
      </c>
      <c r="V20" s="198">
        <v>835</v>
      </c>
      <c r="W20" s="190">
        <v>3511</v>
      </c>
      <c r="X20" s="188"/>
      <c r="Y20" s="409"/>
      <c r="Z20" s="411">
        <v>1050</v>
      </c>
      <c r="AA20" s="648">
        <v>300</v>
      </c>
      <c r="AB20" s="188">
        <v>350</v>
      </c>
      <c r="AC20" s="190">
        <v>155</v>
      </c>
      <c r="AD20" s="454">
        <v>1270</v>
      </c>
      <c r="AE20" s="743">
        <v>1378</v>
      </c>
      <c r="AF20" s="189">
        <v>4500</v>
      </c>
      <c r="AG20" s="190">
        <v>4500</v>
      </c>
      <c r="AH20" s="200"/>
      <c r="AI20" s="409">
        <v>951</v>
      </c>
      <c r="AJ20" s="198">
        <v>1985</v>
      </c>
      <c r="AK20" s="409">
        <v>3600</v>
      </c>
      <c r="AL20" s="1086"/>
      <c r="AM20" s="1086"/>
      <c r="AN20" s="1083">
        <v>1932</v>
      </c>
      <c r="AO20" s="1079">
        <v>1652</v>
      </c>
      <c r="AP20" s="717"/>
      <c r="AQ20" s="1075"/>
      <c r="AR20" s="195"/>
      <c r="AS20" s="573"/>
      <c r="AT20" s="198">
        <v>285</v>
      </c>
      <c r="AU20" s="409">
        <v>933</v>
      </c>
      <c r="AV20" s="185">
        <f t="shared" si="0"/>
        <v>23175</v>
      </c>
      <c r="AW20" s="725">
        <f t="shared" si="1"/>
        <v>22722</v>
      </c>
      <c r="AX20" s="198"/>
      <c r="AY20" s="409"/>
      <c r="AZ20" s="185">
        <f t="shared" si="2"/>
        <v>23175</v>
      </c>
      <c r="BA20" s="728">
        <f t="shared" si="3"/>
        <v>22722</v>
      </c>
    </row>
    <row r="21" spans="1:53" ht="17.25">
      <c r="A21" s="184" t="s">
        <v>92</v>
      </c>
      <c r="B21" s="185"/>
      <c r="C21" s="187"/>
      <c r="D21" s="188"/>
      <c r="E21" s="190"/>
      <c r="F21" s="189"/>
      <c r="G21" s="190"/>
      <c r="H21" s="189">
        <v>103</v>
      </c>
      <c r="I21" s="190">
        <v>828</v>
      </c>
      <c r="J21" s="189"/>
      <c r="K21" s="190"/>
      <c r="L21" s="189"/>
      <c r="M21" s="190"/>
      <c r="N21" s="189">
        <v>43</v>
      </c>
      <c r="O21" s="190">
        <v>493</v>
      </c>
      <c r="P21" s="189">
        <v>200</v>
      </c>
      <c r="Q21" s="190">
        <v>280</v>
      </c>
      <c r="R21" s="189">
        <v>322</v>
      </c>
      <c r="S21" s="190">
        <v>300</v>
      </c>
      <c r="T21" s="189"/>
      <c r="U21" s="409"/>
      <c r="V21" s="198"/>
      <c r="W21" s="190"/>
      <c r="X21" s="188"/>
      <c r="Y21" s="409"/>
      <c r="Z21" s="411"/>
      <c r="AA21" s="648"/>
      <c r="AB21" s="188"/>
      <c r="AC21" s="190"/>
      <c r="AD21" s="189"/>
      <c r="AE21" s="190"/>
      <c r="AF21" s="189">
        <v>1354</v>
      </c>
      <c r="AG21" s="190">
        <v>2493</v>
      </c>
      <c r="AH21" s="201"/>
      <c r="AI21" s="409"/>
      <c r="AJ21" s="198"/>
      <c r="AK21" s="409"/>
      <c r="AL21" s="1086"/>
      <c r="AM21" s="1086"/>
      <c r="AN21" s="198">
        <v>25</v>
      </c>
      <c r="AO21" s="409">
        <v>423</v>
      </c>
      <c r="AP21" s="717"/>
      <c r="AQ21" s="1075"/>
      <c r="AR21" s="195"/>
      <c r="AS21" s="573"/>
      <c r="AT21" s="198">
        <v>81</v>
      </c>
      <c r="AU21" s="409">
        <v>186</v>
      </c>
      <c r="AV21" s="199">
        <f t="shared" si="0"/>
        <v>2128</v>
      </c>
      <c r="AW21" s="574">
        <f t="shared" si="1"/>
        <v>5003</v>
      </c>
      <c r="AX21" s="195"/>
      <c r="AY21" s="573"/>
      <c r="AZ21" s="199">
        <f t="shared" si="2"/>
        <v>2128</v>
      </c>
      <c r="BA21" s="1069">
        <f t="shared" si="3"/>
        <v>5003</v>
      </c>
    </row>
    <row r="22" spans="1:53" ht="16.5">
      <c r="A22" s="184" t="s">
        <v>93</v>
      </c>
      <c r="B22" s="185">
        <v>2838604</v>
      </c>
      <c r="C22" s="187">
        <v>1853302</v>
      </c>
      <c r="D22" s="188">
        <v>117585</v>
      </c>
      <c r="E22" s="190">
        <v>358542</v>
      </c>
      <c r="F22" s="189">
        <v>169309</v>
      </c>
      <c r="G22" s="190">
        <v>244558</v>
      </c>
      <c r="H22" s="189">
        <v>2100337</v>
      </c>
      <c r="I22" s="190">
        <v>1623009</v>
      </c>
      <c r="J22" s="189">
        <v>1748296</v>
      </c>
      <c r="K22" s="190">
        <v>2611018</v>
      </c>
      <c r="L22" s="189">
        <v>379502</v>
      </c>
      <c r="M22" s="190">
        <v>511868</v>
      </c>
      <c r="N22" s="189">
        <v>7665</v>
      </c>
      <c r="O22" s="190">
        <v>52163</v>
      </c>
      <c r="P22" s="189">
        <v>506448</v>
      </c>
      <c r="Q22" s="190">
        <v>418424</v>
      </c>
      <c r="R22" s="189">
        <v>259264</v>
      </c>
      <c r="S22" s="190">
        <v>316523</v>
      </c>
      <c r="T22" s="189">
        <v>183470</v>
      </c>
      <c r="U22" s="409">
        <v>528380</v>
      </c>
      <c r="V22" s="198">
        <v>14101098</v>
      </c>
      <c r="W22" s="190">
        <v>10695689</v>
      </c>
      <c r="X22" s="188">
        <v>9142819</v>
      </c>
      <c r="Y22" s="409">
        <v>8154772</v>
      </c>
      <c r="Z22" s="411">
        <v>205850</v>
      </c>
      <c r="AA22" s="648">
        <v>220155</v>
      </c>
      <c r="AB22" s="188">
        <v>1160834.99</v>
      </c>
      <c r="AC22" s="190">
        <v>985836</v>
      </c>
      <c r="AD22" s="189">
        <v>992052</v>
      </c>
      <c r="AE22" s="190">
        <v>1107402</v>
      </c>
      <c r="AF22" s="189">
        <v>3534692</v>
      </c>
      <c r="AG22" s="190">
        <v>3044135</v>
      </c>
      <c r="AH22" s="189"/>
      <c r="AI22" s="409">
        <v>545581</v>
      </c>
      <c r="AJ22" s="198">
        <v>699861</v>
      </c>
      <c r="AK22" s="409">
        <v>399541</v>
      </c>
      <c r="AL22" s="1086"/>
      <c r="AM22" s="1086"/>
      <c r="AN22" s="1083">
        <v>212161</v>
      </c>
      <c r="AO22" s="1079">
        <v>942596</v>
      </c>
      <c r="AP22" s="717">
        <v>237738</v>
      </c>
      <c r="AQ22" s="1075">
        <v>281409</v>
      </c>
      <c r="AR22" s="195">
        <v>185917</v>
      </c>
      <c r="AS22" s="573">
        <v>249097</v>
      </c>
      <c r="AT22" s="198">
        <v>4319526</v>
      </c>
      <c r="AU22" s="409">
        <v>3519026</v>
      </c>
      <c r="AV22" s="199">
        <f t="shared" si="0"/>
        <v>43103028.989999995</v>
      </c>
      <c r="AW22" s="574">
        <f t="shared" si="1"/>
        <v>38663026</v>
      </c>
      <c r="AX22" s="195">
        <v>4789567</v>
      </c>
      <c r="AY22" s="573">
        <v>5525135</v>
      </c>
      <c r="AZ22" s="199">
        <f t="shared" si="2"/>
        <v>47892595.989999995</v>
      </c>
      <c r="BA22" s="1069">
        <f t="shared" si="3"/>
        <v>44188161</v>
      </c>
    </row>
    <row r="23" spans="1:53" ht="16.5">
      <c r="A23" s="184" t="s">
        <v>94</v>
      </c>
      <c r="B23" s="185">
        <v>117706</v>
      </c>
      <c r="C23" s="187">
        <v>100094</v>
      </c>
      <c r="D23" s="188">
        <v>27428</v>
      </c>
      <c r="E23" s="190">
        <v>27720</v>
      </c>
      <c r="F23" s="189">
        <v>16495</v>
      </c>
      <c r="G23" s="190">
        <v>18286</v>
      </c>
      <c r="H23" s="189">
        <v>75047</v>
      </c>
      <c r="I23" s="190">
        <v>74699</v>
      </c>
      <c r="J23" s="189">
        <v>46968</v>
      </c>
      <c r="K23" s="190">
        <v>42918</v>
      </c>
      <c r="L23" s="189">
        <v>60938</v>
      </c>
      <c r="M23" s="190">
        <v>57976</v>
      </c>
      <c r="N23" s="189">
        <v>17853</v>
      </c>
      <c r="O23" s="190">
        <v>17667</v>
      </c>
      <c r="P23" s="189">
        <v>27883</v>
      </c>
      <c r="Q23" s="190">
        <v>22721</v>
      </c>
      <c r="R23" s="189">
        <v>68642</v>
      </c>
      <c r="S23" s="190">
        <v>78319</v>
      </c>
      <c r="T23" s="189">
        <v>21866</v>
      </c>
      <c r="U23" s="409">
        <v>24477</v>
      </c>
      <c r="V23" s="198">
        <v>184115</v>
      </c>
      <c r="W23" s="190">
        <v>170068</v>
      </c>
      <c r="X23" s="188">
        <v>228221</v>
      </c>
      <c r="Y23" s="409">
        <v>188202</v>
      </c>
      <c r="Z23" s="411">
        <v>22955</v>
      </c>
      <c r="AA23" s="648">
        <v>23650</v>
      </c>
      <c r="AB23" s="188">
        <v>25257.2</v>
      </c>
      <c r="AC23" s="190">
        <v>22865</v>
      </c>
      <c r="AD23" s="189">
        <v>84508</v>
      </c>
      <c r="AE23" s="190">
        <v>64395</v>
      </c>
      <c r="AF23" s="454">
        <v>185140</v>
      </c>
      <c r="AG23" s="190">
        <v>127748</v>
      </c>
      <c r="AH23" s="189"/>
      <c r="AI23" s="409">
        <v>56520</v>
      </c>
      <c r="AJ23" s="198">
        <v>69329</v>
      </c>
      <c r="AK23" s="409">
        <v>77595</v>
      </c>
      <c r="AL23" s="1086"/>
      <c r="AM23" s="1086"/>
      <c r="AN23" s="1083">
        <v>83190</v>
      </c>
      <c r="AO23" s="1079">
        <v>84857</v>
      </c>
      <c r="AP23" s="717">
        <v>8766</v>
      </c>
      <c r="AQ23" s="1075">
        <v>10767</v>
      </c>
      <c r="AR23" s="195">
        <v>3217</v>
      </c>
      <c r="AS23" s="573">
        <v>3895</v>
      </c>
      <c r="AT23" s="198">
        <v>152816</v>
      </c>
      <c r="AU23" s="409">
        <v>113892</v>
      </c>
      <c r="AV23" s="199">
        <f t="shared" si="0"/>
        <v>1528340.2</v>
      </c>
      <c r="AW23" s="574">
        <f t="shared" si="1"/>
        <v>1409331</v>
      </c>
      <c r="AX23" s="195">
        <v>1124890</v>
      </c>
      <c r="AY23" s="573">
        <v>575255</v>
      </c>
      <c r="AZ23" s="199">
        <f t="shared" si="2"/>
        <v>2653230.2</v>
      </c>
      <c r="BA23" s="1069">
        <f t="shared" si="3"/>
        <v>1984586</v>
      </c>
    </row>
    <row r="24" spans="1:53" ht="16.5">
      <c r="A24" s="184" t="s">
        <v>95</v>
      </c>
      <c r="B24" s="185">
        <v>1148</v>
      </c>
      <c r="C24" s="187">
        <v>8953</v>
      </c>
      <c r="D24" s="188"/>
      <c r="E24" s="190"/>
      <c r="F24" s="189"/>
      <c r="G24" s="190"/>
      <c r="H24" s="189"/>
      <c r="I24" s="190"/>
      <c r="J24" s="189">
        <v>128134</v>
      </c>
      <c r="K24" s="190">
        <v>418531</v>
      </c>
      <c r="L24" s="189"/>
      <c r="M24" s="190"/>
      <c r="N24" s="189">
        <v>2625</v>
      </c>
      <c r="O24" s="190">
        <v>6548</v>
      </c>
      <c r="P24" s="189"/>
      <c r="Q24" s="190"/>
      <c r="R24" s="189">
        <v>27011</v>
      </c>
      <c r="S24" s="190">
        <v>20352</v>
      </c>
      <c r="T24" s="189"/>
      <c r="U24" s="409"/>
      <c r="V24" s="198"/>
      <c r="W24" s="190"/>
      <c r="X24" s="188"/>
      <c r="Y24" s="409"/>
      <c r="Z24" s="411"/>
      <c r="AA24" s="648"/>
      <c r="AB24" s="188"/>
      <c r="AC24" s="190"/>
      <c r="AD24" s="189">
        <v>33752</v>
      </c>
      <c r="AE24" s="190">
        <v>55248</v>
      </c>
      <c r="AF24" s="189">
        <v>226020</v>
      </c>
      <c r="AG24" s="190">
        <v>103493</v>
      </c>
      <c r="AH24" s="189"/>
      <c r="AI24" s="409"/>
      <c r="AJ24" s="198"/>
      <c r="AK24" s="409"/>
      <c r="AL24" s="1086"/>
      <c r="AM24" s="1086"/>
      <c r="AN24" s="1083">
        <v>8745</v>
      </c>
      <c r="AO24" s="1079">
        <v>29664</v>
      </c>
      <c r="AP24" s="717"/>
      <c r="AQ24" s="1075"/>
      <c r="AR24" s="195"/>
      <c r="AS24" s="573"/>
      <c r="AT24" s="198"/>
      <c r="AU24" s="409"/>
      <c r="AV24" s="199">
        <f t="shared" si="0"/>
        <v>427435</v>
      </c>
      <c r="AW24" s="574">
        <f t="shared" si="1"/>
        <v>642789</v>
      </c>
      <c r="AX24" s="195"/>
      <c r="AY24" s="573"/>
      <c r="AZ24" s="199">
        <f t="shared" si="2"/>
        <v>427435</v>
      </c>
      <c r="BA24" s="1069">
        <f t="shared" si="3"/>
        <v>642789</v>
      </c>
    </row>
    <row r="25" spans="1:53" ht="16.5">
      <c r="A25" s="184" t="s">
        <v>96</v>
      </c>
      <c r="B25" s="185">
        <v>715063</v>
      </c>
      <c r="C25" s="187">
        <v>688868</v>
      </c>
      <c r="D25" s="188">
        <v>268782</v>
      </c>
      <c r="E25" s="190">
        <v>240143</v>
      </c>
      <c r="F25" s="189">
        <v>343621</v>
      </c>
      <c r="G25" s="190">
        <v>179461</v>
      </c>
      <c r="H25" s="189">
        <v>759870</v>
      </c>
      <c r="I25" s="190">
        <v>694560</v>
      </c>
      <c r="J25" s="189">
        <v>595240</v>
      </c>
      <c r="K25" s="190">
        <v>476340</v>
      </c>
      <c r="L25" s="189">
        <v>436792</v>
      </c>
      <c r="M25" s="190">
        <v>347468</v>
      </c>
      <c r="N25" s="189">
        <v>121189</v>
      </c>
      <c r="O25" s="190">
        <v>134319</v>
      </c>
      <c r="P25" s="189">
        <v>248520</v>
      </c>
      <c r="Q25" s="190">
        <v>225364</v>
      </c>
      <c r="R25" s="189"/>
      <c r="S25" s="190"/>
      <c r="T25" s="189">
        <v>131979</v>
      </c>
      <c r="U25" s="409">
        <v>129536</v>
      </c>
      <c r="V25" s="198">
        <v>1392442</v>
      </c>
      <c r="W25" s="190">
        <v>1197967</v>
      </c>
      <c r="X25" s="188">
        <v>872400</v>
      </c>
      <c r="Y25" s="409">
        <v>1005652</v>
      </c>
      <c r="Z25" s="411">
        <v>170020</v>
      </c>
      <c r="AA25" s="648">
        <v>159179</v>
      </c>
      <c r="AB25" s="188">
        <v>518687.7</v>
      </c>
      <c r="AC25" s="190">
        <v>444146</v>
      </c>
      <c r="AD25" s="454">
        <v>379957</v>
      </c>
      <c r="AE25" s="743">
        <v>353040</v>
      </c>
      <c r="AF25" s="189">
        <v>671947</v>
      </c>
      <c r="AG25" s="190">
        <v>632435</v>
      </c>
      <c r="AH25" s="189"/>
      <c r="AI25" s="409">
        <v>483246</v>
      </c>
      <c r="AJ25" s="198">
        <f>305794+85907</f>
        <v>391701</v>
      </c>
      <c r="AK25" s="409">
        <v>345030</v>
      </c>
      <c r="AL25" s="1086"/>
      <c r="AM25" s="1086"/>
      <c r="AN25" s="1083">
        <v>1042891</v>
      </c>
      <c r="AO25" s="1079">
        <v>842287</v>
      </c>
      <c r="AP25" s="717">
        <v>117597</v>
      </c>
      <c r="AQ25" s="1075">
        <v>104750</v>
      </c>
      <c r="AR25" s="195">
        <v>178256</v>
      </c>
      <c r="AS25" s="573">
        <v>171007</v>
      </c>
      <c r="AT25" s="198">
        <v>592375</v>
      </c>
      <c r="AU25" s="409">
        <v>541928</v>
      </c>
      <c r="AV25" s="185">
        <f t="shared" si="0"/>
        <v>9949329.7</v>
      </c>
      <c r="AW25" s="725">
        <f t="shared" si="1"/>
        <v>9396726</v>
      </c>
      <c r="AX25" s="198"/>
      <c r="AY25" s="409"/>
      <c r="AZ25" s="185">
        <f t="shared" si="2"/>
        <v>9949329.7</v>
      </c>
      <c r="BA25" s="728">
        <f t="shared" si="3"/>
        <v>9396726</v>
      </c>
    </row>
    <row r="26" spans="1:53" ht="16.5">
      <c r="A26" s="184" t="s">
        <v>97</v>
      </c>
      <c r="B26" s="185"/>
      <c r="C26" s="187"/>
      <c r="D26" s="188">
        <v>240</v>
      </c>
      <c r="E26" s="190">
        <v>1170</v>
      </c>
      <c r="F26" s="189">
        <v>13597</v>
      </c>
      <c r="G26" s="190">
        <v>16685</v>
      </c>
      <c r="H26" s="189"/>
      <c r="I26" s="190">
        <v>242288</v>
      </c>
      <c r="J26" s="189"/>
      <c r="K26" s="190"/>
      <c r="L26" s="189"/>
      <c r="M26" s="190"/>
      <c r="N26" s="189"/>
      <c r="O26" s="190"/>
      <c r="P26" s="189">
        <v>26708</v>
      </c>
      <c r="Q26" s="190">
        <v>22512</v>
      </c>
      <c r="R26" s="189">
        <v>179286</v>
      </c>
      <c r="S26" s="190">
        <v>79635</v>
      </c>
      <c r="T26" s="189">
        <v>6493</v>
      </c>
      <c r="U26" s="409">
        <v>10975</v>
      </c>
      <c r="V26" s="198">
        <v>88410</v>
      </c>
      <c r="W26" s="190">
        <v>77521</v>
      </c>
      <c r="X26" s="188">
        <v>62765</v>
      </c>
      <c r="Y26" s="409">
        <v>20011</v>
      </c>
      <c r="Z26" s="411"/>
      <c r="AA26" s="648"/>
      <c r="AB26" s="188"/>
      <c r="AC26" s="190"/>
      <c r="AD26" s="189">
        <v>64011</v>
      </c>
      <c r="AE26" s="190">
        <v>96700</v>
      </c>
      <c r="AF26" s="193">
        <f>116077+59302+1608</f>
        <v>176987</v>
      </c>
      <c r="AG26" s="190">
        <v>44330</v>
      </c>
      <c r="AH26" s="189"/>
      <c r="AI26" s="409"/>
      <c r="AJ26" s="198"/>
      <c r="AK26" s="409"/>
      <c r="AL26" s="1086"/>
      <c r="AM26" s="1086"/>
      <c r="AN26" s="1083">
        <v>194188</v>
      </c>
      <c r="AO26" s="1079">
        <v>113773</v>
      </c>
      <c r="AP26" s="717">
        <v>2009</v>
      </c>
      <c r="AQ26" s="1075">
        <v>1967</v>
      </c>
      <c r="AR26" s="195">
        <v>50358</v>
      </c>
      <c r="AS26" s="573">
        <v>23092</v>
      </c>
      <c r="AT26" s="198"/>
      <c r="AU26" s="409"/>
      <c r="AV26" s="199">
        <f t="shared" si="0"/>
        <v>865052</v>
      </c>
      <c r="AW26" s="574">
        <f t="shared" si="1"/>
        <v>750659</v>
      </c>
      <c r="AX26" s="195">
        <v>29225314</v>
      </c>
      <c r="AY26" s="573">
        <v>33030334</v>
      </c>
      <c r="AZ26" s="199">
        <f t="shared" si="2"/>
        <v>30090366</v>
      </c>
      <c r="BA26" s="1069">
        <f t="shared" si="3"/>
        <v>33780993</v>
      </c>
    </row>
    <row r="27" spans="1:53" ht="16.5">
      <c r="A27" s="184" t="s">
        <v>98</v>
      </c>
      <c r="B27" s="185">
        <v>270849</v>
      </c>
      <c r="C27" s="187">
        <v>244692</v>
      </c>
      <c r="D27" s="188">
        <v>66221</v>
      </c>
      <c r="E27" s="190">
        <v>68902</v>
      </c>
      <c r="F27" s="189"/>
      <c r="G27" s="190"/>
      <c r="H27" s="189">
        <v>396790</v>
      </c>
      <c r="I27" s="190">
        <v>384992</v>
      </c>
      <c r="J27" s="189">
        <v>71573</v>
      </c>
      <c r="K27" s="190">
        <v>96156</v>
      </c>
      <c r="L27" s="189"/>
      <c r="M27" s="190"/>
      <c r="N27" s="189">
        <v>46944</v>
      </c>
      <c r="O27" s="190">
        <v>97446</v>
      </c>
      <c r="P27" s="189">
        <v>35952</v>
      </c>
      <c r="Q27" s="190">
        <v>62623</v>
      </c>
      <c r="R27" s="189"/>
      <c r="S27" s="190"/>
      <c r="T27" s="189"/>
      <c r="U27" s="409"/>
      <c r="V27" s="198">
        <v>986049</v>
      </c>
      <c r="W27" s="190">
        <v>1323997</v>
      </c>
      <c r="X27" s="188"/>
      <c r="Y27" s="409"/>
      <c r="Z27" s="411">
        <v>17872</v>
      </c>
      <c r="AA27" s="648">
        <v>23073</v>
      </c>
      <c r="AB27" s="188">
        <v>155885.75</v>
      </c>
      <c r="AC27" s="190">
        <v>169595</v>
      </c>
      <c r="AD27" s="189">
        <v>474486</v>
      </c>
      <c r="AE27" s="190">
        <v>423370</v>
      </c>
      <c r="AF27" s="193">
        <v>967952</v>
      </c>
      <c r="AG27" s="190">
        <v>901483</v>
      </c>
      <c r="AH27" s="189"/>
      <c r="AI27" s="409"/>
      <c r="AJ27" s="198">
        <v>33390</v>
      </c>
      <c r="AK27" s="409">
        <v>22387</v>
      </c>
      <c r="AL27" s="1086"/>
      <c r="AM27" s="1086"/>
      <c r="AN27" s="1083">
        <v>1073765</v>
      </c>
      <c r="AO27" s="1079">
        <v>927260</v>
      </c>
      <c r="AP27" s="717"/>
      <c r="AQ27" s="1075"/>
      <c r="AR27" s="195">
        <v>196182</v>
      </c>
      <c r="AS27" s="573">
        <v>44058</v>
      </c>
      <c r="AT27" s="198">
        <v>602423</v>
      </c>
      <c r="AU27" s="409">
        <v>521080</v>
      </c>
      <c r="AV27" s="199">
        <f t="shared" si="0"/>
        <v>5396333.75</v>
      </c>
      <c r="AW27" s="574">
        <f t="shared" si="1"/>
        <v>5311114</v>
      </c>
      <c r="AX27" s="195">
        <v>1872412</v>
      </c>
      <c r="AY27" s="573">
        <v>2807328</v>
      </c>
      <c r="AZ27" s="199">
        <f t="shared" si="2"/>
        <v>7268745.75</v>
      </c>
      <c r="BA27" s="1069">
        <f t="shared" si="3"/>
        <v>8118442</v>
      </c>
    </row>
    <row r="28" spans="1:53" ht="16.5">
      <c r="A28" s="184" t="s">
        <v>99</v>
      </c>
      <c r="B28" s="185">
        <v>342632</v>
      </c>
      <c r="C28" s="187">
        <v>292025</v>
      </c>
      <c r="D28" s="188">
        <v>294386</v>
      </c>
      <c r="E28" s="190">
        <v>190329</v>
      </c>
      <c r="F28" s="189">
        <v>84241</v>
      </c>
      <c r="G28" s="190">
        <v>78409</v>
      </c>
      <c r="H28" s="189">
        <v>391660</v>
      </c>
      <c r="I28" s="190">
        <v>358431</v>
      </c>
      <c r="J28" s="189">
        <v>109010</v>
      </c>
      <c r="K28" s="190">
        <v>102827</v>
      </c>
      <c r="L28" s="189">
        <v>129925</v>
      </c>
      <c r="M28" s="190">
        <v>84708</v>
      </c>
      <c r="N28" s="189">
        <v>165565</v>
      </c>
      <c r="O28" s="190">
        <v>197439</v>
      </c>
      <c r="P28" s="189">
        <v>302137</v>
      </c>
      <c r="Q28" s="190">
        <v>252610</v>
      </c>
      <c r="R28" s="189">
        <v>138416</v>
      </c>
      <c r="S28" s="190">
        <v>147612</v>
      </c>
      <c r="T28" s="189">
        <v>249088</v>
      </c>
      <c r="U28" s="409">
        <v>184748</v>
      </c>
      <c r="V28" s="198">
        <v>506117</v>
      </c>
      <c r="W28" s="190">
        <v>465032</v>
      </c>
      <c r="X28" s="188">
        <v>597940</v>
      </c>
      <c r="Y28" s="409">
        <v>605415</v>
      </c>
      <c r="Z28" s="411">
        <v>91600</v>
      </c>
      <c r="AA28" s="648">
        <v>99513</v>
      </c>
      <c r="AB28" s="188">
        <v>230417.12</v>
      </c>
      <c r="AC28" s="190">
        <v>209812</v>
      </c>
      <c r="AD28" s="189">
        <v>424956</v>
      </c>
      <c r="AE28" s="190">
        <v>409446</v>
      </c>
      <c r="AF28" s="193">
        <v>855409</v>
      </c>
      <c r="AG28" s="190">
        <v>832188</v>
      </c>
      <c r="AH28" s="189"/>
      <c r="AI28" s="409">
        <v>341496</v>
      </c>
      <c r="AJ28" s="198">
        <v>324901</v>
      </c>
      <c r="AK28" s="409">
        <v>254418</v>
      </c>
      <c r="AL28" s="1086"/>
      <c r="AM28" s="1086"/>
      <c r="AN28" s="1083">
        <v>991906</v>
      </c>
      <c r="AO28" s="1079">
        <v>888599</v>
      </c>
      <c r="AP28" s="717">
        <v>174655</v>
      </c>
      <c r="AQ28" s="1075">
        <v>140694</v>
      </c>
      <c r="AR28" s="195">
        <v>103401</v>
      </c>
      <c r="AS28" s="573">
        <v>89717</v>
      </c>
      <c r="AT28" s="198">
        <v>525920</v>
      </c>
      <c r="AU28" s="409">
        <v>497275</v>
      </c>
      <c r="AV28" s="199">
        <f t="shared" si="0"/>
        <v>7034282.12</v>
      </c>
      <c r="AW28" s="574">
        <f t="shared" si="1"/>
        <v>6722743</v>
      </c>
      <c r="AX28" s="195">
        <v>4128987</v>
      </c>
      <c r="AY28" s="573">
        <v>3752078</v>
      </c>
      <c r="AZ28" s="199">
        <f t="shared" si="2"/>
        <v>11163269.120000001</v>
      </c>
      <c r="BA28" s="1069">
        <f t="shared" si="3"/>
        <v>10474821</v>
      </c>
    </row>
    <row r="29" spans="1:53" ht="16.5">
      <c r="A29" s="184" t="s">
        <v>100</v>
      </c>
      <c r="B29" s="185"/>
      <c r="C29" s="187">
        <v>7093</v>
      </c>
      <c r="D29" s="188"/>
      <c r="E29" s="190"/>
      <c r="F29" s="189"/>
      <c r="G29" s="190"/>
      <c r="H29" s="189"/>
      <c r="I29" s="190"/>
      <c r="J29" s="189">
        <v>809</v>
      </c>
      <c r="K29" s="190"/>
      <c r="L29" s="189"/>
      <c r="M29" s="190"/>
      <c r="N29" s="189">
        <f>185+89</f>
        <v>274</v>
      </c>
      <c r="O29" s="190">
        <v>1021</v>
      </c>
      <c r="P29" s="189"/>
      <c r="Q29" s="190">
        <v>77</v>
      </c>
      <c r="R29" s="189"/>
      <c r="S29" s="190"/>
      <c r="T29" s="189"/>
      <c r="U29" s="409"/>
      <c r="V29" s="198"/>
      <c r="W29" s="190"/>
      <c r="X29" s="188"/>
      <c r="Y29" s="409"/>
      <c r="Z29" s="411"/>
      <c r="AA29" s="648"/>
      <c r="AB29" s="188"/>
      <c r="AC29" s="190"/>
      <c r="AD29" s="189"/>
      <c r="AE29" s="190"/>
      <c r="AF29" s="193"/>
      <c r="AG29" s="190"/>
      <c r="AH29" s="189"/>
      <c r="AI29" s="409"/>
      <c r="AJ29" s="198"/>
      <c r="AK29" s="409"/>
      <c r="AL29" s="1086"/>
      <c r="AM29" s="1086"/>
      <c r="AN29" s="1083"/>
      <c r="AO29" s="1079"/>
      <c r="AP29" s="717"/>
      <c r="AQ29" s="1075"/>
      <c r="AR29" s="195"/>
      <c r="AS29" s="573"/>
      <c r="AT29" s="198"/>
      <c r="AU29" s="409"/>
      <c r="AV29" s="199">
        <f t="shared" si="0"/>
        <v>1083</v>
      </c>
      <c r="AW29" s="574">
        <f t="shared" si="1"/>
        <v>8191</v>
      </c>
      <c r="AX29" s="195"/>
      <c r="AY29" s="573"/>
      <c r="AZ29" s="199">
        <f t="shared" si="2"/>
        <v>1083</v>
      </c>
      <c r="BA29" s="1069">
        <f t="shared" si="3"/>
        <v>8191</v>
      </c>
    </row>
    <row r="30" spans="1:53" ht="16.5">
      <c r="A30" s="184" t="s">
        <v>101</v>
      </c>
      <c r="B30" s="185">
        <v>8649</v>
      </c>
      <c r="C30" s="187">
        <v>-7879</v>
      </c>
      <c r="D30" s="188"/>
      <c r="E30" s="190"/>
      <c r="F30" s="189"/>
      <c r="G30" s="190"/>
      <c r="H30" s="189"/>
      <c r="I30" s="190"/>
      <c r="J30" s="189"/>
      <c r="K30" s="190"/>
      <c r="L30" s="189"/>
      <c r="M30" s="190"/>
      <c r="N30" s="189"/>
      <c r="O30" s="190">
        <v>22723</v>
      </c>
      <c r="P30" s="189"/>
      <c r="Q30" s="190"/>
      <c r="R30" s="189"/>
      <c r="S30" s="190"/>
      <c r="T30" s="189"/>
      <c r="U30" s="409"/>
      <c r="V30" s="198"/>
      <c r="W30" s="190"/>
      <c r="X30" s="188"/>
      <c r="Y30" s="409"/>
      <c r="Z30" s="411"/>
      <c r="AA30" s="648"/>
      <c r="AB30" s="188"/>
      <c r="AC30" s="190"/>
      <c r="AD30" s="189"/>
      <c r="AE30" s="190"/>
      <c r="AF30" s="193"/>
      <c r="AG30" s="190"/>
      <c r="AH30" s="189"/>
      <c r="AI30" s="409"/>
      <c r="AJ30" s="198"/>
      <c r="AK30" s="409"/>
      <c r="AL30" s="1086"/>
      <c r="AM30" s="1086"/>
      <c r="AN30" s="1083"/>
      <c r="AO30" s="1079"/>
      <c r="AP30" s="717"/>
      <c r="AQ30" s="1075"/>
      <c r="AR30" s="195"/>
      <c r="AS30" s="573"/>
      <c r="AT30" s="198"/>
      <c r="AU30" s="409"/>
      <c r="AV30" s="199">
        <f t="shared" si="0"/>
        <v>8649</v>
      </c>
      <c r="AW30" s="574">
        <f t="shared" si="1"/>
        <v>14844</v>
      </c>
      <c r="AX30" s="195"/>
      <c r="AY30" s="573"/>
      <c r="AZ30" s="199">
        <f t="shared" si="2"/>
        <v>8649</v>
      </c>
      <c r="BA30" s="1069">
        <f t="shared" si="3"/>
        <v>14844</v>
      </c>
    </row>
    <row r="31" spans="1:53" ht="16.5">
      <c r="A31" s="184" t="s">
        <v>102</v>
      </c>
      <c r="B31" s="185"/>
      <c r="C31" s="187"/>
      <c r="D31" s="188">
        <v>2563</v>
      </c>
      <c r="E31" s="190">
        <v>38628</v>
      </c>
      <c r="F31" s="189"/>
      <c r="G31" s="190"/>
      <c r="H31" s="189">
        <v>567636</v>
      </c>
      <c r="I31" s="190">
        <v>139762</v>
      </c>
      <c r="J31" s="189"/>
      <c r="K31" s="190">
        <v>26005</v>
      </c>
      <c r="L31" s="189"/>
      <c r="M31" s="190"/>
      <c r="N31" s="189">
        <v>5361</v>
      </c>
      <c r="O31" s="190">
        <v>49522</v>
      </c>
      <c r="P31" s="189">
        <v>461514</v>
      </c>
      <c r="Q31" s="190">
        <v>380093</v>
      </c>
      <c r="R31" s="189">
        <v>1298331</v>
      </c>
      <c r="S31" s="190">
        <v>1883886</v>
      </c>
      <c r="T31" s="189"/>
      <c r="U31" s="409"/>
      <c r="V31" s="198">
        <v>6659030</v>
      </c>
      <c r="W31" s="190">
        <v>6120905</v>
      </c>
      <c r="X31" s="188">
        <v>-153591</v>
      </c>
      <c r="Y31" s="409">
        <v>1391533</v>
      </c>
      <c r="Z31" s="411">
        <v>139060</v>
      </c>
      <c r="AA31" s="648">
        <v>213928</v>
      </c>
      <c r="AB31" s="188"/>
      <c r="AC31" s="190"/>
      <c r="AD31" s="189">
        <v>774344</v>
      </c>
      <c r="AE31" s="190">
        <v>1368397</v>
      </c>
      <c r="AF31" s="193"/>
      <c r="AG31" s="190"/>
      <c r="AH31" s="189"/>
      <c r="AI31" s="409">
        <v>355415</v>
      </c>
      <c r="AJ31" s="198">
        <v>280816</v>
      </c>
      <c r="AK31" s="409">
        <v>253844</v>
      </c>
      <c r="AL31" s="1086"/>
      <c r="AM31" s="1086"/>
      <c r="AN31" s="1083"/>
      <c r="AO31" s="1079"/>
      <c r="AP31" s="717"/>
      <c r="AQ31" s="1075"/>
      <c r="AR31" s="195">
        <v>99025</v>
      </c>
      <c r="AS31" s="573">
        <v>106314</v>
      </c>
      <c r="AT31" s="198">
        <f>134508+11859</f>
        <v>146367</v>
      </c>
      <c r="AU31" s="409">
        <f>108433+11759</f>
        <v>120192</v>
      </c>
      <c r="AV31" s="199">
        <f t="shared" si="0"/>
        <v>10280456</v>
      </c>
      <c r="AW31" s="574">
        <f t="shared" si="1"/>
        <v>12448424</v>
      </c>
      <c r="AX31" s="195">
        <v>18579227</v>
      </c>
      <c r="AY31" s="573">
        <v>21661264</v>
      </c>
      <c r="AZ31" s="199">
        <f t="shared" si="2"/>
        <v>28859683</v>
      </c>
      <c r="BA31" s="1069">
        <f t="shared" si="3"/>
        <v>34109688</v>
      </c>
    </row>
    <row r="32" spans="1:53" ht="16.5">
      <c r="A32" s="184" t="s">
        <v>103</v>
      </c>
      <c r="B32" s="185"/>
      <c r="C32" s="187"/>
      <c r="D32" s="188">
        <v>57714</v>
      </c>
      <c r="E32" s="190">
        <v>96045</v>
      </c>
      <c r="F32" s="189"/>
      <c r="G32" s="190"/>
      <c r="H32" s="189"/>
      <c r="I32" s="190"/>
      <c r="J32" s="189"/>
      <c r="K32" s="190"/>
      <c r="L32" s="189"/>
      <c r="M32" s="190"/>
      <c r="N32" s="189"/>
      <c r="O32" s="190"/>
      <c r="P32" s="189">
        <v>132516</v>
      </c>
      <c r="Q32" s="190">
        <v>186373</v>
      </c>
      <c r="R32" s="189"/>
      <c r="S32" s="190"/>
      <c r="T32" s="189"/>
      <c r="U32" s="409"/>
      <c r="V32" s="198"/>
      <c r="W32" s="190"/>
      <c r="X32" s="188"/>
      <c r="Y32" s="409"/>
      <c r="Z32" s="411"/>
      <c r="AA32" s="648"/>
      <c r="AB32" s="188"/>
      <c r="AC32" s="190"/>
      <c r="AD32" s="189"/>
      <c r="AE32" s="190"/>
      <c r="AF32" s="193"/>
      <c r="AG32" s="190"/>
      <c r="AH32" s="189"/>
      <c r="AI32" s="409"/>
      <c r="AJ32" s="198">
        <v>218089</v>
      </c>
      <c r="AK32" s="409">
        <v>255754</v>
      </c>
      <c r="AL32" s="1086"/>
      <c r="AM32" s="1086"/>
      <c r="AN32" s="1083"/>
      <c r="AO32" s="1079"/>
      <c r="AP32" s="717"/>
      <c r="AQ32" s="1075"/>
      <c r="AR32" s="195"/>
      <c r="AS32" s="573"/>
      <c r="AT32" s="198"/>
      <c r="AU32" s="409"/>
      <c r="AV32" s="199">
        <f t="shared" si="0"/>
        <v>408319</v>
      </c>
      <c r="AW32" s="574">
        <f t="shared" si="1"/>
        <v>538172</v>
      </c>
      <c r="AX32" s="195"/>
      <c r="AY32" s="573"/>
      <c r="AZ32" s="199">
        <f t="shared" si="2"/>
        <v>408319</v>
      </c>
      <c r="BA32" s="1069">
        <f t="shared" si="3"/>
        <v>538172</v>
      </c>
    </row>
    <row r="33" spans="1:53" ht="16.5">
      <c r="A33" s="184" t="s">
        <v>104</v>
      </c>
      <c r="B33" s="185"/>
      <c r="C33" s="187"/>
      <c r="D33" s="188">
        <v>10715</v>
      </c>
      <c r="E33" s="190">
        <v>19468</v>
      </c>
      <c r="F33" s="189"/>
      <c r="G33" s="190"/>
      <c r="H33" s="189"/>
      <c r="I33" s="190"/>
      <c r="J33" s="189"/>
      <c r="K33" s="190"/>
      <c r="L33" s="189"/>
      <c r="M33" s="190"/>
      <c r="N33" s="189"/>
      <c r="O33" s="190"/>
      <c r="P33" s="189"/>
      <c r="Q33" s="190"/>
      <c r="R33" s="189"/>
      <c r="S33" s="190"/>
      <c r="T33" s="189">
        <v>10292</v>
      </c>
      <c r="U33" s="409">
        <v>4594</v>
      </c>
      <c r="V33" s="198">
        <v>772587</v>
      </c>
      <c r="W33" s="190">
        <v>814946</v>
      </c>
      <c r="X33" s="188">
        <v>153523</v>
      </c>
      <c r="Y33" s="409">
        <v>243034</v>
      </c>
      <c r="Z33" s="411"/>
      <c r="AA33" s="648">
        <v>33847</v>
      </c>
      <c r="AB33" s="188">
        <v>29754.6</v>
      </c>
      <c r="AC33" s="190">
        <f>37406</f>
        <v>37406</v>
      </c>
      <c r="AD33" s="189">
        <v>224576</v>
      </c>
      <c r="AE33" s="190">
        <v>309071</v>
      </c>
      <c r="AF33" s="193"/>
      <c r="AG33" s="190">
        <f>14458</f>
        <v>14458</v>
      </c>
      <c r="AH33" s="189"/>
      <c r="AI33" s="409">
        <v>128162</v>
      </c>
      <c r="AJ33" s="198"/>
      <c r="AK33" s="409"/>
      <c r="AL33" s="1086"/>
      <c r="AM33" s="1086"/>
      <c r="AN33" s="1083"/>
      <c r="AO33" s="1079"/>
      <c r="AP33" s="717"/>
      <c r="AQ33" s="1075"/>
      <c r="AR33" s="195"/>
      <c r="AS33" s="573"/>
      <c r="AT33" s="198">
        <f>101013+1539</f>
        <v>102552</v>
      </c>
      <c r="AU33" s="200">
        <v>55977</v>
      </c>
      <c r="AV33" s="199">
        <f t="shared" si="0"/>
        <v>1303999.6</v>
      </c>
      <c r="AW33" s="574">
        <f t="shared" si="1"/>
        <v>1660963</v>
      </c>
      <c r="AX33" s="195">
        <v>13729</v>
      </c>
      <c r="AY33" s="573">
        <v>-636</v>
      </c>
      <c r="AZ33" s="199">
        <f t="shared" si="2"/>
        <v>1317728.6</v>
      </c>
      <c r="BA33" s="1069">
        <f t="shared" si="3"/>
        <v>1660327</v>
      </c>
    </row>
    <row r="34" spans="1:53" ht="16.5">
      <c r="A34" s="184" t="s">
        <v>105</v>
      </c>
      <c r="B34" s="185">
        <v>97913</v>
      </c>
      <c r="C34" s="187">
        <v>125277</v>
      </c>
      <c r="D34" s="188">
        <v>5119</v>
      </c>
      <c r="E34" s="190">
        <v>14082</v>
      </c>
      <c r="F34" s="189">
        <v>27280</v>
      </c>
      <c r="G34" s="190">
        <v>29671</v>
      </c>
      <c r="H34" s="189">
        <v>114109</v>
      </c>
      <c r="I34" s="190">
        <v>136012</v>
      </c>
      <c r="J34" s="189">
        <v>30606</v>
      </c>
      <c r="K34" s="190">
        <v>50423</v>
      </c>
      <c r="L34" s="189"/>
      <c r="M34" s="190"/>
      <c r="N34" s="189">
        <v>21054</v>
      </c>
      <c r="O34" s="190">
        <v>29395</v>
      </c>
      <c r="P34" s="189"/>
      <c r="Q34" s="190"/>
      <c r="R34" s="189">
        <v>52377</v>
      </c>
      <c r="S34" s="190">
        <v>75952</v>
      </c>
      <c r="T34" s="189"/>
      <c r="U34" s="409"/>
      <c r="V34" s="198"/>
      <c r="W34" s="190"/>
      <c r="X34" s="188"/>
      <c r="Y34" s="409"/>
      <c r="Z34" s="411">
        <v>12671</v>
      </c>
      <c r="AA34" s="648">
        <v>20462</v>
      </c>
      <c r="AB34" s="188"/>
      <c r="AC34" s="190"/>
      <c r="AD34" s="189">
        <v>75186</v>
      </c>
      <c r="AE34" s="190">
        <v>101751</v>
      </c>
      <c r="AF34" s="193">
        <v>148162</v>
      </c>
      <c r="AG34" s="190">
        <v>196304</v>
      </c>
      <c r="AH34" s="189"/>
      <c r="AI34" s="409"/>
      <c r="AJ34" s="198"/>
      <c r="AK34" s="409"/>
      <c r="AL34" s="1086"/>
      <c r="AM34" s="1086"/>
      <c r="AN34" s="1083"/>
      <c r="AO34" s="1079"/>
      <c r="AP34" s="717"/>
      <c r="AQ34" s="1075"/>
      <c r="AR34" s="195"/>
      <c r="AS34" s="573"/>
      <c r="AT34" s="198"/>
      <c r="AU34" s="409"/>
      <c r="AV34" s="199">
        <f t="shared" si="0"/>
        <v>584477</v>
      </c>
      <c r="AW34" s="574">
        <f t="shared" si="1"/>
        <v>779329</v>
      </c>
      <c r="AX34" s="195">
        <v>2183058</v>
      </c>
      <c r="AY34" s="573">
        <v>2498403</v>
      </c>
      <c r="AZ34" s="199">
        <f t="shared" si="2"/>
        <v>2767535</v>
      </c>
      <c r="BA34" s="1069">
        <f t="shared" si="3"/>
        <v>3277732</v>
      </c>
    </row>
    <row r="35" spans="1:53" ht="16.5">
      <c r="A35" s="184" t="s">
        <v>106</v>
      </c>
      <c r="B35" s="185">
        <f>89654</f>
        <v>89654</v>
      </c>
      <c r="C35" s="187">
        <v>101811</v>
      </c>
      <c r="D35" s="188">
        <v>5919</v>
      </c>
      <c r="E35" s="190">
        <v>44278</v>
      </c>
      <c r="F35" s="189">
        <v>30397</v>
      </c>
      <c r="G35" s="190">
        <v>22407</v>
      </c>
      <c r="H35" s="189"/>
      <c r="I35" s="190"/>
      <c r="J35" s="189"/>
      <c r="K35" s="190"/>
      <c r="L35" s="189"/>
      <c r="M35" s="190"/>
      <c r="N35" s="189"/>
      <c r="O35" s="190"/>
      <c r="P35" s="189"/>
      <c r="Q35" s="190"/>
      <c r="R35" s="189"/>
      <c r="S35" s="190"/>
      <c r="T35" s="189"/>
      <c r="U35" s="409"/>
      <c r="V35" s="198"/>
      <c r="W35" s="190"/>
      <c r="X35" s="188"/>
      <c r="Y35" s="409"/>
      <c r="Z35" s="411"/>
      <c r="AA35" s="648"/>
      <c r="AB35" s="188"/>
      <c r="AC35" s="190"/>
      <c r="AD35" s="189"/>
      <c r="AE35" s="190"/>
      <c r="AF35" s="193"/>
      <c r="AG35" s="190"/>
      <c r="AH35" s="189"/>
      <c r="AI35" s="409">
        <v>72062</v>
      </c>
      <c r="AJ35" s="198"/>
      <c r="AK35" s="409"/>
      <c r="AL35" s="1086"/>
      <c r="AM35" s="1086"/>
      <c r="AN35" s="1083"/>
      <c r="AO35" s="1079"/>
      <c r="AP35" s="717"/>
      <c r="AQ35" s="1075"/>
      <c r="AR35" s="195"/>
      <c r="AS35" s="573"/>
      <c r="AT35" s="1073"/>
      <c r="AU35" s="200"/>
      <c r="AV35" s="199">
        <f t="shared" si="0"/>
        <v>125970</v>
      </c>
      <c r="AW35" s="574">
        <f t="shared" si="1"/>
        <v>240558</v>
      </c>
      <c r="AX35" s="195"/>
      <c r="AY35" s="573"/>
      <c r="AZ35" s="199">
        <f t="shared" si="2"/>
        <v>125970</v>
      </c>
      <c r="BA35" s="1069">
        <f t="shared" si="3"/>
        <v>240558</v>
      </c>
    </row>
    <row r="36" spans="1:53" ht="16.5">
      <c r="A36" s="184" t="s">
        <v>107</v>
      </c>
      <c r="B36" s="185">
        <v>80222</v>
      </c>
      <c r="C36" s="187">
        <v>77331</v>
      </c>
      <c r="D36" s="188">
        <v>13674</v>
      </c>
      <c r="E36" s="190">
        <v>8764</v>
      </c>
      <c r="F36" s="189">
        <v>11304</v>
      </c>
      <c r="G36" s="190">
        <v>13969</v>
      </c>
      <c r="H36" s="189">
        <f>139802+182269</f>
        <v>322071</v>
      </c>
      <c r="I36" s="190">
        <f>494918+139762</f>
        <v>634680</v>
      </c>
      <c r="J36" s="189">
        <f>4462+76807+5245+455+17068</f>
        <v>104037</v>
      </c>
      <c r="K36" s="190">
        <f>15039+23970+64547+20727+5007</f>
        <v>129290</v>
      </c>
      <c r="L36" s="189">
        <v>204273</v>
      </c>
      <c r="M36" s="190">
        <v>187259</v>
      </c>
      <c r="N36" s="189">
        <f>17397+29694</f>
        <v>47091</v>
      </c>
      <c r="O36" s="190">
        <f>107675+1021+56</f>
        <v>108752</v>
      </c>
      <c r="P36" s="189">
        <v>21730</v>
      </c>
      <c r="Q36" s="190">
        <v>30064</v>
      </c>
      <c r="R36" s="189">
        <f>24507+3203</f>
        <v>27710</v>
      </c>
      <c r="S36" s="190">
        <f>7314+31863</f>
        <v>39177</v>
      </c>
      <c r="T36" s="189">
        <v>11807</v>
      </c>
      <c r="U36" s="409">
        <v>18106</v>
      </c>
      <c r="V36" s="198"/>
      <c r="W36" s="190"/>
      <c r="X36" s="188">
        <f>364119+159674</f>
        <v>523793</v>
      </c>
      <c r="Y36" s="409">
        <f>317639+221656</f>
        <v>539295</v>
      </c>
      <c r="Z36" s="411">
        <f>12824+31839</f>
        <v>44663</v>
      </c>
      <c r="AA36" s="648">
        <f>44264+12884</f>
        <v>57148</v>
      </c>
      <c r="AB36" s="188"/>
      <c r="AC36" s="190"/>
      <c r="AD36" s="454">
        <f>32390+115166</f>
        <v>147556</v>
      </c>
      <c r="AE36" s="743">
        <f>22726+208756</f>
        <v>231482</v>
      </c>
      <c r="AF36" s="193">
        <f>10860+100015+26558</f>
        <v>137433</v>
      </c>
      <c r="AG36" s="190">
        <f>33697+2567+112989</f>
        <v>149253</v>
      </c>
      <c r="AH36" s="189"/>
      <c r="AI36" s="409">
        <v>41164</v>
      </c>
      <c r="AJ36" s="198">
        <f>59537</f>
        <v>59537</v>
      </c>
      <c r="AK36" s="409">
        <v>83784</v>
      </c>
      <c r="AL36" s="1086"/>
      <c r="AM36" s="1086"/>
      <c r="AN36" s="1083">
        <v>739306</v>
      </c>
      <c r="AO36" s="1079">
        <v>1120956</v>
      </c>
      <c r="AP36" s="717">
        <v>285970</v>
      </c>
      <c r="AQ36" s="1075">
        <v>322042</v>
      </c>
      <c r="AR36" s="195">
        <v>31011</v>
      </c>
      <c r="AS36" s="573">
        <v>34124</v>
      </c>
      <c r="AT36" s="198">
        <v>9100</v>
      </c>
      <c r="AU36" s="409">
        <v>6750</v>
      </c>
      <c r="AV36" s="185">
        <f t="shared" si="0"/>
        <v>2822288</v>
      </c>
      <c r="AW36" s="725">
        <f t="shared" si="1"/>
        <v>3833390</v>
      </c>
      <c r="AX36" s="198">
        <f>1305040+118795+40290+4744458</f>
        <v>6208583</v>
      </c>
      <c r="AY36" s="409">
        <f>1186401+113274+36190+5663128</f>
        <v>6998993</v>
      </c>
      <c r="AZ36" s="185">
        <f t="shared" si="2"/>
        <v>9030871</v>
      </c>
      <c r="BA36" s="728">
        <f t="shared" si="3"/>
        <v>10832383</v>
      </c>
    </row>
    <row r="37" spans="1:53" ht="16.5">
      <c r="A37" s="207" t="s">
        <v>108</v>
      </c>
      <c r="B37" s="1091">
        <v>353890</v>
      </c>
      <c r="C37" s="212">
        <v>307059</v>
      </c>
      <c r="D37" s="1089"/>
      <c r="E37" s="210"/>
      <c r="F37" s="209"/>
      <c r="G37" s="210"/>
      <c r="H37" s="209"/>
      <c r="I37" s="210"/>
      <c r="J37" s="209"/>
      <c r="K37" s="210"/>
      <c r="L37" s="209"/>
      <c r="M37" s="210"/>
      <c r="N37" s="209"/>
      <c r="O37" s="210"/>
      <c r="P37" s="209"/>
      <c r="Q37" s="210"/>
      <c r="R37" s="209"/>
      <c r="S37" s="210"/>
      <c r="T37" s="209">
        <v>66279</v>
      </c>
      <c r="U37" s="410">
        <v>73828</v>
      </c>
      <c r="V37" s="1071"/>
      <c r="W37" s="210"/>
      <c r="X37" s="1089"/>
      <c r="Y37" s="410"/>
      <c r="Z37" s="1464"/>
      <c r="AA37" s="1465"/>
      <c r="AB37" s="1089">
        <v>78429.25</v>
      </c>
      <c r="AC37" s="210">
        <v>109029</v>
      </c>
      <c r="AD37" s="744"/>
      <c r="AE37" s="745"/>
      <c r="AF37" s="211"/>
      <c r="AG37" s="210"/>
      <c r="AH37" s="209"/>
      <c r="AI37" s="410"/>
      <c r="AJ37" s="1071"/>
      <c r="AK37" s="410"/>
      <c r="AL37" s="1087"/>
      <c r="AM37" s="1087"/>
      <c r="AN37" s="1085"/>
      <c r="AO37" s="1080"/>
      <c r="AP37" s="1081"/>
      <c r="AQ37" s="1076"/>
      <c r="AR37" s="195"/>
      <c r="AS37" s="573"/>
      <c r="AT37" s="1071"/>
      <c r="AU37" s="410"/>
      <c r="AV37" s="185">
        <f t="shared" si="0"/>
        <v>498598.25</v>
      </c>
      <c r="AW37" s="725">
        <f t="shared" si="1"/>
        <v>489916</v>
      </c>
      <c r="AX37" s="1071"/>
      <c r="AY37" s="410"/>
      <c r="AZ37" s="185">
        <f t="shared" si="2"/>
        <v>498598.25</v>
      </c>
      <c r="BA37" s="728">
        <f t="shared" si="3"/>
        <v>489916</v>
      </c>
    </row>
    <row r="38" spans="1:53" ht="17.25" thickBot="1">
      <c r="A38" s="569" t="s">
        <v>109</v>
      </c>
      <c r="B38" s="1091"/>
      <c r="C38" s="212"/>
      <c r="D38" s="1089"/>
      <c r="E38" s="210"/>
      <c r="F38" s="209"/>
      <c r="G38" s="210"/>
      <c r="H38" s="209"/>
      <c r="I38" s="210"/>
      <c r="J38" s="209"/>
      <c r="K38" s="210"/>
      <c r="L38" s="209"/>
      <c r="M38" s="210"/>
      <c r="N38" s="209"/>
      <c r="O38" s="210"/>
      <c r="P38" s="209"/>
      <c r="Q38" s="210"/>
      <c r="R38" s="209"/>
      <c r="S38" s="210"/>
      <c r="T38" s="209"/>
      <c r="U38" s="410"/>
      <c r="V38" s="1071"/>
      <c r="W38" s="210"/>
      <c r="X38" s="1089"/>
      <c r="Y38" s="410"/>
      <c r="Z38" s="1077"/>
      <c r="AA38" s="1466"/>
      <c r="AB38" s="1089"/>
      <c r="AC38" s="210"/>
      <c r="AD38" s="209"/>
      <c r="AE38" s="210"/>
      <c r="AF38" s="211"/>
      <c r="AG38" s="210"/>
      <c r="AH38" s="209"/>
      <c r="AI38" s="410"/>
      <c r="AJ38" s="1071"/>
      <c r="AK38" s="410"/>
      <c r="AL38" s="1087"/>
      <c r="AM38" s="1087"/>
      <c r="AN38" s="1071"/>
      <c r="AO38" s="410"/>
      <c r="AP38" s="1081"/>
      <c r="AQ38" s="1076"/>
      <c r="AR38" s="1077"/>
      <c r="AS38" s="408"/>
      <c r="AT38" s="1071"/>
      <c r="AU38" s="410"/>
      <c r="AV38" s="208">
        <f t="shared" si="0"/>
        <v>0</v>
      </c>
      <c r="AW38" s="575">
        <f t="shared" si="1"/>
        <v>0</v>
      </c>
      <c r="AX38" s="1071"/>
      <c r="AY38" s="410"/>
      <c r="AZ38" s="208">
        <f t="shared" si="2"/>
        <v>0</v>
      </c>
      <c r="BA38" s="213">
        <f t="shared" si="3"/>
        <v>0</v>
      </c>
    </row>
    <row r="39" spans="1:53" s="568" customFormat="1" ht="18.75" thickBot="1">
      <c r="A39" s="746" t="s">
        <v>54</v>
      </c>
      <c r="B39" s="1070">
        <f>SUM(B5:B38)</f>
        <v>13211776</v>
      </c>
      <c r="C39" s="566">
        <v>12441542</v>
      </c>
      <c r="D39" s="1090">
        <f>SUM(D5:D38)</f>
        <v>1799467</v>
      </c>
      <c r="E39" s="565">
        <v>2209939</v>
      </c>
      <c r="F39" s="565">
        <f>SUM(F5:F38)</f>
        <v>2875709</v>
      </c>
      <c r="G39" s="565">
        <f>SUM(G5:G38)</f>
        <v>2862916</v>
      </c>
      <c r="H39" s="565">
        <v>19267695</v>
      </c>
      <c r="I39" s="565">
        <v>17632272</v>
      </c>
      <c r="J39" s="565">
        <f>SUM(J5:J38)</f>
        <v>6993527</v>
      </c>
      <c r="K39" s="565">
        <v>7573627</v>
      </c>
      <c r="L39" s="565">
        <f>SUM(L5:L38)</f>
        <v>5875661</v>
      </c>
      <c r="M39" s="565">
        <v>5250696</v>
      </c>
      <c r="N39" s="565">
        <f>SUM(N5:N38)</f>
        <v>2498163</v>
      </c>
      <c r="O39" s="565">
        <v>3303107</v>
      </c>
      <c r="P39" s="565">
        <f>SUM(P5:P38)</f>
        <v>5429540</v>
      </c>
      <c r="Q39" s="565">
        <f>SUM(Q5:Q38)</f>
        <v>5694561</v>
      </c>
      <c r="R39" s="565">
        <f>SUM(R5:R38)</f>
        <v>6629112</v>
      </c>
      <c r="S39" s="565">
        <f>SUM(S5:S38)</f>
        <v>8091760</v>
      </c>
      <c r="T39" s="565">
        <f>SUM(T5:T38)</f>
        <v>5493931</v>
      </c>
      <c r="U39" s="565">
        <v>6213663</v>
      </c>
      <c r="V39" s="1070">
        <f>SUM(V5:V38)</f>
        <v>45859705</v>
      </c>
      <c r="W39" s="566">
        <v>42668968</v>
      </c>
      <c r="X39" s="565">
        <f>SUM(X5:X38)</f>
        <v>26882636</v>
      </c>
      <c r="Y39" s="565">
        <f>SUM(Y5:Y38)</f>
        <v>28468703</v>
      </c>
      <c r="Z39" s="1070">
        <f>SUM(Z5:Z38)</f>
        <v>2389040</v>
      </c>
      <c r="AA39" s="566">
        <v>2447301</v>
      </c>
      <c r="AB39" s="565">
        <f>SUM(AB5:AB38)</f>
        <v>5614679.640000001</v>
      </c>
      <c r="AC39" s="566">
        <v>4917884</v>
      </c>
      <c r="AD39" s="565">
        <f>SUM(AD5:AD38)</f>
        <v>14966869</v>
      </c>
      <c r="AE39" s="566">
        <v>14590099</v>
      </c>
      <c r="AF39" s="567">
        <f>SUM(AF5:AF38)</f>
        <v>27006255</v>
      </c>
      <c r="AG39" s="566">
        <v>23441067</v>
      </c>
      <c r="AH39" s="565">
        <f>SUM(AH5:AH38)</f>
        <v>0</v>
      </c>
      <c r="AI39" s="1088">
        <v>9071068</v>
      </c>
      <c r="AJ39" s="1070">
        <f>SUM(AJ5:AJ38)</f>
        <v>10414464</v>
      </c>
      <c r="AK39" s="565">
        <v>10005390</v>
      </c>
      <c r="AL39" s="1070">
        <f>SUM(AL5:AL38)</f>
        <v>0</v>
      </c>
      <c r="AM39" s="1070">
        <f>SUM(AM5:AM38)</f>
        <v>0</v>
      </c>
      <c r="AN39" s="1070">
        <f>SUM(AN5:AN38)</f>
        <v>24122508</v>
      </c>
      <c r="AO39" s="565">
        <v>24130848</v>
      </c>
      <c r="AP39" s="1070">
        <f>SUM(AP5:AP38)</f>
        <v>4888103</v>
      </c>
      <c r="AQ39" s="565">
        <v>5088607</v>
      </c>
      <c r="AR39" s="1074">
        <f>SUM(AR5:AR38)</f>
        <v>3899794</v>
      </c>
      <c r="AS39" s="1072">
        <v>3668329</v>
      </c>
      <c r="AT39" s="1074">
        <f>SUM(AT5:AT38)</f>
        <v>17339733</v>
      </c>
      <c r="AU39" s="1072">
        <f>SUM(AU5:AU38)</f>
        <v>15916649</v>
      </c>
      <c r="AV39" s="1070">
        <f aca="true" t="shared" si="4" ref="AV39:BA39">SUM(AV5:AV38)</f>
        <v>253458367.63999996</v>
      </c>
      <c r="AW39" s="565">
        <f t="shared" si="4"/>
        <v>255317789</v>
      </c>
      <c r="AX39" s="1070">
        <f>SUM(AX5:AX38)</f>
        <v>349898229</v>
      </c>
      <c r="AY39" s="565">
        <f>SUM(AY5:AY38)</f>
        <v>342568331</v>
      </c>
      <c r="AZ39" s="1070">
        <f t="shared" si="4"/>
        <v>603356596.64</v>
      </c>
      <c r="BA39" s="566">
        <f t="shared" si="4"/>
        <v>597886120</v>
      </c>
    </row>
  </sheetData>
  <sheetProtection/>
  <mergeCells count="29">
    <mergeCell ref="F3:G3"/>
    <mergeCell ref="AJ3:AK3"/>
    <mergeCell ref="P3:Q3"/>
    <mergeCell ref="R3:S3"/>
    <mergeCell ref="V3:W3"/>
    <mergeCell ref="X3:Y3"/>
    <mergeCell ref="Z3:AA3"/>
    <mergeCell ref="H3:I3"/>
    <mergeCell ref="J3:K3"/>
    <mergeCell ref="T3:U3"/>
    <mergeCell ref="A1:AY1"/>
    <mergeCell ref="A2:AY2"/>
    <mergeCell ref="A3:A4"/>
    <mergeCell ref="AB3:AC3"/>
    <mergeCell ref="AD3:AE3"/>
    <mergeCell ref="AF3:AG3"/>
    <mergeCell ref="AH3:AI3"/>
    <mergeCell ref="B3:C3"/>
    <mergeCell ref="D3:E3"/>
    <mergeCell ref="N3:O3"/>
    <mergeCell ref="AL3:AM3"/>
    <mergeCell ref="AZ3:BA3"/>
    <mergeCell ref="AV3:AW3"/>
    <mergeCell ref="L3:M3"/>
    <mergeCell ref="AR3:AS3"/>
    <mergeCell ref="AP3:AQ3"/>
    <mergeCell ref="AT3:AU3"/>
    <mergeCell ref="AN3:AO3"/>
    <mergeCell ref="AX3:AY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BA3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X43" sqref="AX43"/>
    </sheetView>
  </sheetViews>
  <sheetFormatPr defaultColWidth="9.140625" defaultRowHeight="15"/>
  <cols>
    <col min="1" max="1" width="37.28125" style="170" bestFit="1" customWidth="1"/>
    <col min="2" max="3" width="12.421875" style="0" bestFit="1" customWidth="1"/>
    <col min="4" max="4" width="11.7109375" style="0" bestFit="1" customWidth="1"/>
    <col min="5" max="5" width="12.421875" style="168" bestFit="1" customWidth="1"/>
    <col min="6" max="6" width="11.7109375" style="0" bestFit="1" customWidth="1"/>
    <col min="7" max="13" width="12.421875" style="0" bestFit="1" customWidth="1"/>
    <col min="14" max="14" width="11.7109375" style="0" bestFit="1" customWidth="1"/>
    <col min="15" max="21" width="12.421875" style="0" bestFit="1" customWidth="1"/>
    <col min="22" max="23" width="12.421875" style="168" bestFit="1" customWidth="1"/>
    <col min="24" max="24" width="12.421875" style="0" bestFit="1" customWidth="1"/>
    <col min="25" max="25" width="12.7109375" style="0" bestFit="1" customWidth="1"/>
    <col min="26" max="41" width="12.421875" style="0" bestFit="1" customWidth="1"/>
    <col min="42" max="47" width="12.421875" style="168" bestFit="1" customWidth="1"/>
    <col min="48" max="53" width="12.421875" style="169" bestFit="1" customWidth="1"/>
  </cols>
  <sheetData>
    <row r="1" spans="1:53" s="106" customFormat="1" ht="14.25" customHeight="1">
      <c r="A1" s="1626" t="s">
        <v>159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1626"/>
      <c r="T1" s="1626"/>
      <c r="U1" s="1626"/>
      <c r="V1" s="1626"/>
      <c r="W1" s="1626"/>
      <c r="X1" s="1626"/>
      <c r="Y1" s="1626"/>
      <c r="Z1" s="1626"/>
      <c r="AA1" s="1626"/>
      <c r="AB1" s="1626"/>
      <c r="AC1" s="1626"/>
      <c r="AD1" s="1626"/>
      <c r="AE1" s="1626"/>
      <c r="AF1" s="1626"/>
      <c r="AG1" s="1626"/>
      <c r="AH1" s="1626"/>
      <c r="AI1" s="1626"/>
      <c r="AJ1" s="1626"/>
      <c r="AK1" s="1626"/>
      <c r="AL1" s="1626"/>
      <c r="AM1" s="1626"/>
      <c r="AN1" s="1626"/>
      <c r="AO1" s="1626"/>
      <c r="AP1" s="1626"/>
      <c r="AQ1" s="1626"/>
      <c r="AR1" s="1626"/>
      <c r="AS1" s="1626"/>
      <c r="AT1" s="1626"/>
      <c r="AU1" s="1626"/>
      <c r="AV1" s="1626"/>
      <c r="AW1" s="1626"/>
      <c r="AX1" s="1626"/>
      <c r="AY1" s="1626"/>
      <c r="AZ1" s="138"/>
      <c r="BA1" s="138"/>
    </row>
    <row r="2" spans="1:53" s="106" customFormat="1" ht="14.25" customHeight="1" thickBot="1">
      <c r="A2" s="1653" t="s">
        <v>59</v>
      </c>
      <c r="B2" s="1653"/>
      <c r="C2" s="1653"/>
      <c r="D2" s="1653"/>
      <c r="E2" s="1653"/>
      <c r="F2" s="1653"/>
      <c r="G2" s="1653"/>
      <c r="H2" s="1653"/>
      <c r="I2" s="1653"/>
      <c r="J2" s="1653"/>
      <c r="K2" s="1653"/>
      <c r="L2" s="1653"/>
      <c r="M2" s="1653"/>
      <c r="N2" s="1653"/>
      <c r="O2" s="1653"/>
      <c r="P2" s="1653"/>
      <c r="Q2" s="1653"/>
      <c r="R2" s="1653"/>
      <c r="S2" s="1653"/>
      <c r="T2" s="1653"/>
      <c r="U2" s="1653"/>
      <c r="V2" s="1653"/>
      <c r="W2" s="1653"/>
      <c r="X2" s="1653"/>
      <c r="Y2" s="1653"/>
      <c r="Z2" s="1653"/>
      <c r="AA2" s="1653"/>
      <c r="AB2" s="1653"/>
      <c r="AC2" s="1653"/>
      <c r="AD2" s="1653"/>
      <c r="AE2" s="1653"/>
      <c r="AF2" s="1653"/>
      <c r="AG2" s="1653"/>
      <c r="AH2" s="1653"/>
      <c r="AI2" s="1653"/>
      <c r="AJ2" s="1653"/>
      <c r="AK2" s="1653"/>
      <c r="AL2" s="1653"/>
      <c r="AM2" s="1653"/>
      <c r="AN2" s="1653"/>
      <c r="AO2" s="1653"/>
      <c r="AP2" s="1653"/>
      <c r="AQ2" s="1653"/>
      <c r="AR2" s="1653"/>
      <c r="AS2" s="1653"/>
      <c r="AT2" s="1653"/>
      <c r="AU2" s="1653"/>
      <c r="AV2" s="1653"/>
      <c r="AW2" s="1653"/>
      <c r="AX2" s="1653"/>
      <c r="AY2" s="1653"/>
      <c r="AZ2" s="138"/>
      <c r="BA2" s="138"/>
    </row>
    <row r="3" spans="1:53" s="825" customFormat="1" ht="15" thickBot="1">
      <c r="A3" s="1654" t="s">
        <v>0</v>
      </c>
      <c r="B3" s="1659" t="s">
        <v>163</v>
      </c>
      <c r="C3" s="1657"/>
      <c r="D3" s="1659" t="s">
        <v>164</v>
      </c>
      <c r="E3" s="1657"/>
      <c r="F3" s="1659" t="s">
        <v>165</v>
      </c>
      <c r="G3" s="1657"/>
      <c r="H3" s="1659" t="s">
        <v>166</v>
      </c>
      <c r="I3" s="1657"/>
      <c r="J3" s="1656" t="s">
        <v>167</v>
      </c>
      <c r="K3" s="1657"/>
      <c r="L3" s="1656" t="s">
        <v>168</v>
      </c>
      <c r="M3" s="1657"/>
      <c r="N3" s="1660" t="s">
        <v>446</v>
      </c>
      <c r="O3" s="1661"/>
      <c r="P3" s="1659" t="s">
        <v>169</v>
      </c>
      <c r="Q3" s="1657"/>
      <c r="R3" s="1659" t="s">
        <v>170</v>
      </c>
      <c r="S3" s="1657"/>
      <c r="T3" s="1659" t="s">
        <v>171</v>
      </c>
      <c r="U3" s="1657"/>
      <c r="V3" s="1658" t="s">
        <v>172</v>
      </c>
      <c r="W3" s="1613"/>
      <c r="X3" s="1656" t="s">
        <v>173</v>
      </c>
      <c r="Y3" s="1657"/>
      <c r="Z3" s="1656" t="s">
        <v>526</v>
      </c>
      <c r="AA3" s="1657"/>
      <c r="AB3" s="1656" t="s">
        <v>174</v>
      </c>
      <c r="AC3" s="1657"/>
      <c r="AD3" s="1664" t="s">
        <v>175</v>
      </c>
      <c r="AE3" s="1665"/>
      <c r="AF3" s="1656" t="s">
        <v>176</v>
      </c>
      <c r="AG3" s="1657"/>
      <c r="AH3" s="1656" t="s">
        <v>177</v>
      </c>
      <c r="AI3" s="1657"/>
      <c r="AJ3" s="1656" t="s">
        <v>178</v>
      </c>
      <c r="AK3" s="1657"/>
      <c r="AL3" s="1664" t="s">
        <v>179</v>
      </c>
      <c r="AM3" s="1665"/>
      <c r="AN3" s="1656" t="s">
        <v>180</v>
      </c>
      <c r="AO3" s="1657"/>
      <c r="AP3" s="1658" t="s">
        <v>181</v>
      </c>
      <c r="AQ3" s="1613"/>
      <c r="AR3" s="1658" t="s">
        <v>182</v>
      </c>
      <c r="AS3" s="1613"/>
      <c r="AT3" s="1658" t="s">
        <v>183</v>
      </c>
      <c r="AU3" s="1613"/>
      <c r="AV3" s="1606" t="s">
        <v>1</v>
      </c>
      <c r="AW3" s="1607"/>
      <c r="AX3" s="1662" t="s">
        <v>184</v>
      </c>
      <c r="AY3" s="1663"/>
      <c r="AZ3" s="1604" t="s">
        <v>2</v>
      </c>
      <c r="BA3" s="1605"/>
    </row>
    <row r="4" spans="1:53" s="532" customFormat="1" ht="15" customHeight="1" thickBot="1">
      <c r="A4" s="1655"/>
      <c r="B4" s="614" t="s">
        <v>520</v>
      </c>
      <c r="C4" s="581" t="s">
        <v>378</v>
      </c>
      <c r="D4" s="614" t="s">
        <v>520</v>
      </c>
      <c r="E4" s="581" t="s">
        <v>378</v>
      </c>
      <c r="F4" s="614" t="s">
        <v>520</v>
      </c>
      <c r="G4" s="581" t="s">
        <v>378</v>
      </c>
      <c r="H4" s="614" t="s">
        <v>520</v>
      </c>
      <c r="I4" s="581" t="s">
        <v>378</v>
      </c>
      <c r="J4" s="614" t="s">
        <v>520</v>
      </c>
      <c r="K4" s="581" t="s">
        <v>378</v>
      </c>
      <c r="L4" s="614" t="s">
        <v>520</v>
      </c>
      <c r="M4" s="581" t="s">
        <v>378</v>
      </c>
      <c r="N4" s="614" t="s">
        <v>520</v>
      </c>
      <c r="O4" s="581" t="s">
        <v>378</v>
      </c>
      <c r="P4" s="614" t="s">
        <v>520</v>
      </c>
      <c r="Q4" s="581" t="s">
        <v>378</v>
      </c>
      <c r="R4" s="614" t="s">
        <v>520</v>
      </c>
      <c r="S4" s="581" t="s">
        <v>378</v>
      </c>
      <c r="T4" s="614" t="s">
        <v>520</v>
      </c>
      <c r="U4" s="581" t="s">
        <v>378</v>
      </c>
      <c r="V4" s="614" t="s">
        <v>520</v>
      </c>
      <c r="W4" s="581" t="s">
        <v>378</v>
      </c>
      <c r="X4" s="614" t="s">
        <v>520</v>
      </c>
      <c r="Y4" s="581" t="s">
        <v>378</v>
      </c>
      <c r="Z4" s="614" t="s">
        <v>520</v>
      </c>
      <c r="AA4" s="581" t="s">
        <v>378</v>
      </c>
      <c r="AB4" s="614" t="s">
        <v>520</v>
      </c>
      <c r="AC4" s="581" t="s">
        <v>378</v>
      </c>
      <c r="AD4" s="614" t="s">
        <v>520</v>
      </c>
      <c r="AE4" s="581" t="s">
        <v>378</v>
      </c>
      <c r="AF4" s="614" t="s">
        <v>520</v>
      </c>
      <c r="AG4" s="581" t="s">
        <v>378</v>
      </c>
      <c r="AH4" s="614" t="s">
        <v>520</v>
      </c>
      <c r="AI4" s="581" t="s">
        <v>378</v>
      </c>
      <c r="AJ4" s="614" t="s">
        <v>520</v>
      </c>
      <c r="AK4" s="581" t="s">
        <v>378</v>
      </c>
      <c r="AL4" s="614" t="s">
        <v>520</v>
      </c>
      <c r="AM4" s="581" t="s">
        <v>378</v>
      </c>
      <c r="AN4" s="1265" t="s">
        <v>520</v>
      </c>
      <c r="AO4" s="1266" t="s">
        <v>378</v>
      </c>
      <c r="AP4" s="614" t="s">
        <v>520</v>
      </c>
      <c r="AQ4" s="581" t="s">
        <v>378</v>
      </c>
      <c r="AR4" s="614" t="s">
        <v>520</v>
      </c>
      <c r="AS4" s="581" t="s">
        <v>378</v>
      </c>
      <c r="AT4" s="614" t="s">
        <v>520</v>
      </c>
      <c r="AU4" s="581" t="s">
        <v>378</v>
      </c>
      <c r="AV4" s="614" t="s">
        <v>520</v>
      </c>
      <c r="AW4" s="581" t="s">
        <v>378</v>
      </c>
      <c r="AX4" s="614" t="s">
        <v>520</v>
      </c>
      <c r="AY4" s="581" t="s">
        <v>378</v>
      </c>
      <c r="AZ4" s="614" t="s">
        <v>520</v>
      </c>
      <c r="BA4" s="581" t="s">
        <v>378</v>
      </c>
    </row>
    <row r="5" spans="1:53" s="109" customFormat="1" ht="15" customHeight="1">
      <c r="A5" s="494" t="s">
        <v>30</v>
      </c>
      <c r="B5" s="897"/>
      <c r="C5" s="173"/>
      <c r="D5" s="172"/>
      <c r="E5" s="174"/>
      <c r="F5" s="176"/>
      <c r="G5" s="174"/>
      <c r="H5" s="176"/>
      <c r="I5" s="174"/>
      <c r="J5" s="175"/>
      <c r="K5" s="174"/>
      <c r="L5" s="175"/>
      <c r="M5" s="174"/>
      <c r="N5" s="176"/>
      <c r="O5" s="174"/>
      <c r="P5" s="172"/>
      <c r="Q5" s="173"/>
      <c r="R5" s="172"/>
      <c r="S5" s="173"/>
      <c r="T5" s="172"/>
      <c r="U5" s="173"/>
      <c r="V5" s="175"/>
      <c r="W5" s="174"/>
      <c r="X5" s="904"/>
      <c r="Y5" s="173"/>
      <c r="Z5" s="904"/>
      <c r="AA5" s="173"/>
      <c r="AB5" s="904"/>
      <c r="AC5" s="173"/>
      <c r="AD5" s="904"/>
      <c r="AE5" s="173"/>
      <c r="AF5" s="904"/>
      <c r="AG5" s="173"/>
      <c r="AH5" s="904"/>
      <c r="AI5" s="173"/>
      <c r="AJ5" s="904"/>
      <c r="AK5" s="173"/>
      <c r="AL5" s="837"/>
      <c r="AM5" s="1264"/>
      <c r="AN5" s="233"/>
      <c r="AO5" s="234"/>
      <c r="AP5" s="175"/>
      <c r="AQ5" s="174"/>
      <c r="AR5" s="175"/>
      <c r="AS5" s="174"/>
      <c r="AT5" s="175"/>
      <c r="AU5" s="174"/>
      <c r="AV5" s="175"/>
      <c r="AW5" s="174"/>
      <c r="AX5" s="175"/>
      <c r="AY5" s="174"/>
      <c r="AZ5" s="179"/>
      <c r="BA5" s="180"/>
    </row>
    <row r="6" spans="1:53" s="109" customFormat="1" ht="14.25">
      <c r="A6" s="493" t="s">
        <v>31</v>
      </c>
      <c r="B6" s="898">
        <v>7858052</v>
      </c>
      <c r="C6" s="110">
        <v>5556659</v>
      </c>
      <c r="D6" s="112">
        <v>1426746</v>
      </c>
      <c r="E6" s="116">
        <v>795158</v>
      </c>
      <c r="F6" s="115">
        <v>1369601</v>
      </c>
      <c r="G6" s="116">
        <v>904957</v>
      </c>
      <c r="H6" s="115">
        <v>13736411</v>
      </c>
      <c r="I6" s="116">
        <v>12110846</v>
      </c>
      <c r="J6" s="139">
        <v>1900601</v>
      </c>
      <c r="K6" s="116">
        <v>1114525</v>
      </c>
      <c r="L6" s="139">
        <v>3152149</v>
      </c>
      <c r="M6" s="116">
        <v>1973788</v>
      </c>
      <c r="N6" s="139">
        <v>3059885</v>
      </c>
      <c r="O6" s="116">
        <v>3639193</v>
      </c>
      <c r="P6" s="112">
        <v>1082750</v>
      </c>
      <c r="Q6" s="113">
        <v>691394</v>
      </c>
      <c r="R6" s="112">
        <v>3246779</v>
      </c>
      <c r="S6" s="113">
        <v>2409194</v>
      </c>
      <c r="T6" s="112">
        <v>1742365</v>
      </c>
      <c r="U6" s="113">
        <v>1416649</v>
      </c>
      <c r="V6" s="139">
        <v>30525767</v>
      </c>
      <c r="W6" s="116">
        <v>23031910</v>
      </c>
      <c r="X6" s="905">
        <v>27286058</v>
      </c>
      <c r="Y6" s="113">
        <v>16119011</v>
      </c>
      <c r="Z6" s="908">
        <v>1260567</v>
      </c>
      <c r="AA6" s="117">
        <v>779036</v>
      </c>
      <c r="AB6" s="905">
        <v>5333054.23</v>
      </c>
      <c r="AC6" s="113">
        <v>3507636.57</v>
      </c>
      <c r="AD6" s="905">
        <v>12183726</v>
      </c>
      <c r="AE6" s="113">
        <v>8821777</v>
      </c>
      <c r="AF6" s="905">
        <v>13493425</v>
      </c>
      <c r="AG6" s="108">
        <v>8392842</v>
      </c>
      <c r="AH6" s="905"/>
      <c r="AI6" s="113">
        <v>4575720</v>
      </c>
      <c r="AJ6" s="905">
        <v>2161983</v>
      </c>
      <c r="AK6" s="113">
        <v>1762061</v>
      </c>
      <c r="AL6" s="905"/>
      <c r="AM6" s="1140"/>
      <c r="AN6" s="881">
        <v>30131811</v>
      </c>
      <c r="AO6" s="235">
        <v>17320157</v>
      </c>
      <c r="AP6" s="916">
        <v>2783828</v>
      </c>
      <c r="AQ6" s="918">
        <v>2598565</v>
      </c>
      <c r="AR6" s="875">
        <v>2704091</v>
      </c>
      <c r="AS6" s="131">
        <v>1743227</v>
      </c>
      <c r="AT6" s="139">
        <v>6976517</v>
      </c>
      <c r="AU6" s="116">
        <v>3555020</v>
      </c>
      <c r="AV6" s="142">
        <f aca="true" t="shared" si="0" ref="AV6:AW8">SUM(B6+D6+F6+H6+J6+L6+N6+P6+R6+T6+V6+X6+Z6+AB6+AD6+AF6+AH6+AJ6+AL6+AN6+AP6+AR6+AT6)</f>
        <v>173416166.23000002</v>
      </c>
      <c r="AW6" s="143">
        <f t="shared" si="0"/>
        <v>122819325.57</v>
      </c>
      <c r="AX6" s="875">
        <v>238786197</v>
      </c>
      <c r="AY6" s="131">
        <v>175053590</v>
      </c>
      <c r="AZ6" s="142">
        <f aca="true" t="shared" si="1" ref="AZ6:BA8">AV6+AX6</f>
        <v>412202363.23</v>
      </c>
      <c r="BA6" s="143">
        <f t="shared" si="1"/>
        <v>297872915.57</v>
      </c>
    </row>
    <row r="7" spans="1:53" s="109" customFormat="1" ht="14.25">
      <c r="A7" s="493" t="s">
        <v>32</v>
      </c>
      <c r="B7" s="898">
        <v>11150933</v>
      </c>
      <c r="C7" s="110">
        <v>13502621</v>
      </c>
      <c r="D7" s="112">
        <v>456357</v>
      </c>
      <c r="E7" s="116">
        <v>276087</v>
      </c>
      <c r="F7" s="115">
        <v>2307783</v>
      </c>
      <c r="G7" s="116">
        <v>2003384</v>
      </c>
      <c r="H7" s="115">
        <v>15023825</v>
      </c>
      <c r="I7" s="116">
        <v>18042819</v>
      </c>
      <c r="J7" s="139">
        <v>676137</v>
      </c>
      <c r="K7" s="116">
        <v>399158</v>
      </c>
      <c r="L7" s="139">
        <v>390833</v>
      </c>
      <c r="M7" s="116">
        <v>232818</v>
      </c>
      <c r="N7" s="139">
        <v>134656</v>
      </c>
      <c r="O7" s="116">
        <v>38843</v>
      </c>
      <c r="P7" s="112"/>
      <c r="Q7" s="113"/>
      <c r="R7" s="112">
        <v>7308607</v>
      </c>
      <c r="S7" s="113">
        <v>6462393</v>
      </c>
      <c r="T7" s="112">
        <v>1049596</v>
      </c>
      <c r="U7" s="113">
        <v>523315</v>
      </c>
      <c r="V7" s="139">
        <v>66764801</v>
      </c>
      <c r="W7" s="116">
        <v>43912610</v>
      </c>
      <c r="X7" s="905">
        <v>37061647</v>
      </c>
      <c r="Y7" s="113">
        <v>25869595</v>
      </c>
      <c r="Z7" s="908">
        <v>3075784</v>
      </c>
      <c r="AA7" s="117">
        <v>2253571</v>
      </c>
      <c r="AB7" s="905">
        <v>1091758.37</v>
      </c>
      <c r="AC7" s="113">
        <v>981920.4</v>
      </c>
      <c r="AD7" s="905">
        <v>15412145</v>
      </c>
      <c r="AE7" s="113">
        <v>15319973</v>
      </c>
      <c r="AF7" s="905">
        <v>9010572</v>
      </c>
      <c r="AG7" s="108">
        <v>12382794</v>
      </c>
      <c r="AH7" s="905"/>
      <c r="AI7" s="113">
        <v>1951132</v>
      </c>
      <c r="AJ7" s="905">
        <v>7185730</v>
      </c>
      <c r="AK7" s="113">
        <v>8753829</v>
      </c>
      <c r="AL7" s="905"/>
      <c r="AM7" s="1140"/>
      <c r="AN7" s="881">
        <v>62010289</v>
      </c>
      <c r="AO7" s="235">
        <v>43811242</v>
      </c>
      <c r="AP7" s="916">
        <v>1361772</v>
      </c>
      <c r="AQ7" s="918">
        <v>810730</v>
      </c>
      <c r="AR7" s="875">
        <v>2703309</v>
      </c>
      <c r="AS7" s="131">
        <v>1461501</v>
      </c>
      <c r="AT7" s="139">
        <v>6090870</v>
      </c>
      <c r="AU7" s="116">
        <v>6512934</v>
      </c>
      <c r="AV7" s="142">
        <f t="shared" si="0"/>
        <v>250267404.37</v>
      </c>
      <c r="AW7" s="143">
        <f t="shared" si="0"/>
        <v>205503269.4</v>
      </c>
      <c r="AX7" s="875">
        <v>1656592044</v>
      </c>
      <c r="AY7" s="131">
        <v>1511500471</v>
      </c>
      <c r="AZ7" s="142">
        <f t="shared" si="1"/>
        <v>1906859448.37</v>
      </c>
      <c r="BA7" s="143">
        <f t="shared" si="1"/>
        <v>1717003740.4</v>
      </c>
    </row>
    <row r="8" spans="1:53" s="109" customFormat="1" ht="14.25">
      <c r="A8" s="493" t="s">
        <v>33</v>
      </c>
      <c r="B8" s="898">
        <v>162115</v>
      </c>
      <c r="C8" s="110">
        <v>117118</v>
      </c>
      <c r="D8" s="112">
        <v>151</v>
      </c>
      <c r="E8" s="116">
        <v>151</v>
      </c>
      <c r="F8" s="115">
        <v>1310040</v>
      </c>
      <c r="G8" s="116">
        <v>889900</v>
      </c>
      <c r="H8" s="115">
        <v>192164</v>
      </c>
      <c r="I8" s="116">
        <v>189820</v>
      </c>
      <c r="J8" s="139"/>
      <c r="K8" s="116"/>
      <c r="L8" s="139">
        <v>182491</v>
      </c>
      <c r="M8" s="116">
        <v>80332</v>
      </c>
      <c r="N8" s="115"/>
      <c r="O8" s="116"/>
      <c r="P8" s="112">
        <v>22367</v>
      </c>
      <c r="Q8" s="113">
        <v>17498</v>
      </c>
      <c r="R8" s="112">
        <v>78407</v>
      </c>
      <c r="S8" s="113">
        <v>46601</v>
      </c>
      <c r="T8" s="112">
        <v>5034</v>
      </c>
      <c r="U8" s="113">
        <v>5701</v>
      </c>
      <c r="V8" s="139">
        <v>4369408</v>
      </c>
      <c r="W8" s="116">
        <v>2918827</v>
      </c>
      <c r="X8" s="905">
        <v>3043442</v>
      </c>
      <c r="Y8" s="113">
        <v>2318115</v>
      </c>
      <c r="Z8" s="908">
        <v>9279</v>
      </c>
      <c r="AA8" s="117">
        <v>59</v>
      </c>
      <c r="AB8" s="905">
        <v>2111.6</v>
      </c>
      <c r="AC8" s="113">
        <v>1117.74</v>
      </c>
      <c r="AD8" s="905">
        <v>308633</v>
      </c>
      <c r="AE8" s="113">
        <v>141737</v>
      </c>
      <c r="AF8" s="905">
        <v>185351</v>
      </c>
      <c r="AG8" s="108">
        <v>111684</v>
      </c>
      <c r="AH8" s="905"/>
      <c r="AI8" s="113">
        <v>223023</v>
      </c>
      <c r="AJ8" s="905">
        <v>66605</v>
      </c>
      <c r="AK8" s="113">
        <v>46296</v>
      </c>
      <c r="AL8" s="905"/>
      <c r="AM8" s="1140"/>
      <c r="AN8" s="881">
        <v>3570401</v>
      </c>
      <c r="AO8" s="235">
        <v>2197182</v>
      </c>
      <c r="AP8" s="916">
        <v>9190</v>
      </c>
      <c r="AQ8" s="918">
        <v>3882</v>
      </c>
      <c r="AR8" s="875">
        <v>168624</v>
      </c>
      <c r="AS8" s="131">
        <v>116813</v>
      </c>
      <c r="AT8" s="139">
        <v>144159</v>
      </c>
      <c r="AU8" s="116">
        <v>68346</v>
      </c>
      <c r="AV8" s="142">
        <f t="shared" si="0"/>
        <v>13829972.6</v>
      </c>
      <c r="AW8" s="143">
        <f t="shared" si="0"/>
        <v>9494202.74</v>
      </c>
      <c r="AX8" s="875">
        <v>145713602</v>
      </c>
      <c r="AY8" s="131">
        <v>130152863</v>
      </c>
      <c r="AZ8" s="142">
        <f t="shared" si="1"/>
        <v>159543574.6</v>
      </c>
      <c r="BA8" s="143">
        <f t="shared" si="1"/>
        <v>139647065.74</v>
      </c>
    </row>
    <row r="9" spans="1:53" s="109" customFormat="1" ht="14.25">
      <c r="A9" s="493" t="s">
        <v>34</v>
      </c>
      <c r="B9" s="898"/>
      <c r="C9" s="110"/>
      <c r="D9" s="112"/>
      <c r="E9" s="116"/>
      <c r="F9" s="115"/>
      <c r="G9" s="116"/>
      <c r="H9" s="115"/>
      <c r="I9" s="116"/>
      <c r="J9" s="139"/>
      <c r="K9" s="116"/>
      <c r="L9" s="139"/>
      <c r="M9" s="116"/>
      <c r="N9" s="115"/>
      <c r="O9" s="116"/>
      <c r="P9" s="112"/>
      <c r="Q9" s="113"/>
      <c r="R9" s="112"/>
      <c r="S9" s="113"/>
      <c r="T9" s="112"/>
      <c r="U9" s="113"/>
      <c r="V9" s="126"/>
      <c r="W9" s="116"/>
      <c r="X9" s="905"/>
      <c r="Y9" s="113"/>
      <c r="Z9" s="908"/>
      <c r="AA9" s="117"/>
      <c r="AB9" s="905"/>
      <c r="AC9" s="113"/>
      <c r="AD9" s="905"/>
      <c r="AE9" s="113"/>
      <c r="AF9" s="905"/>
      <c r="AG9" s="108"/>
      <c r="AH9" s="905"/>
      <c r="AI9" s="113"/>
      <c r="AJ9" s="905"/>
      <c r="AK9" s="113"/>
      <c r="AL9" s="905"/>
      <c r="AM9" s="1140"/>
      <c r="AN9" s="114"/>
      <c r="AO9" s="116"/>
      <c r="AP9" s="916"/>
      <c r="AQ9" s="918"/>
      <c r="AR9" s="875"/>
      <c r="AS9" s="131"/>
      <c r="AT9" s="139">
        <v>870555</v>
      </c>
      <c r="AU9" s="116">
        <v>1051236</v>
      </c>
      <c r="AV9" s="142"/>
      <c r="AW9" s="143"/>
      <c r="AX9" s="875"/>
      <c r="AY9" s="131"/>
      <c r="AZ9" s="142"/>
      <c r="BA9" s="143"/>
    </row>
    <row r="10" spans="1:53" s="109" customFormat="1" ht="14.25">
      <c r="A10" s="493" t="s">
        <v>35</v>
      </c>
      <c r="B10" s="899">
        <v>1395345</v>
      </c>
      <c r="C10" s="145">
        <v>712674</v>
      </c>
      <c r="D10" s="123">
        <v>111097</v>
      </c>
      <c r="E10" s="136">
        <v>424552</v>
      </c>
      <c r="F10" s="135">
        <v>720342</v>
      </c>
      <c r="G10" s="136">
        <v>358906</v>
      </c>
      <c r="H10" s="135">
        <v>3963370</v>
      </c>
      <c r="I10" s="136">
        <v>3631921</v>
      </c>
      <c r="J10" s="142">
        <v>976344</v>
      </c>
      <c r="K10" s="136">
        <v>258271</v>
      </c>
      <c r="L10" s="142">
        <v>224430</v>
      </c>
      <c r="M10" s="136">
        <v>326791</v>
      </c>
      <c r="N10" s="135">
        <v>50832</v>
      </c>
      <c r="O10" s="136">
        <v>33364</v>
      </c>
      <c r="P10" s="123">
        <v>107090</v>
      </c>
      <c r="Q10" s="146">
        <v>54314</v>
      </c>
      <c r="R10" s="123"/>
      <c r="S10" s="146"/>
      <c r="T10" s="123">
        <v>230854</v>
      </c>
      <c r="U10" s="146">
        <v>230084</v>
      </c>
      <c r="V10" s="142">
        <v>547840</v>
      </c>
      <c r="W10" s="136">
        <v>302354</v>
      </c>
      <c r="X10" s="906">
        <v>3689974</v>
      </c>
      <c r="Y10" s="166">
        <v>2989852</v>
      </c>
      <c r="Z10" s="908">
        <v>2506611</v>
      </c>
      <c r="AA10" s="117">
        <v>2100961</v>
      </c>
      <c r="AB10" s="906">
        <v>868691.2</v>
      </c>
      <c r="AC10" s="146">
        <v>462205.6</v>
      </c>
      <c r="AD10" s="911">
        <v>2693827</v>
      </c>
      <c r="AE10" s="912">
        <v>1035427</v>
      </c>
      <c r="AF10" s="906">
        <v>1845139</v>
      </c>
      <c r="AG10" s="108">
        <v>1387549</v>
      </c>
      <c r="AH10" s="906"/>
      <c r="AI10" s="146">
        <v>2928372</v>
      </c>
      <c r="AJ10" s="906">
        <v>6495213</v>
      </c>
      <c r="AK10" s="146">
        <v>5803837</v>
      </c>
      <c r="AL10" s="905"/>
      <c r="AM10" s="1140"/>
      <c r="AN10" s="881">
        <v>14268646</v>
      </c>
      <c r="AO10" s="235">
        <v>8254294</v>
      </c>
      <c r="AP10" s="916">
        <v>425712</v>
      </c>
      <c r="AQ10" s="918">
        <v>452672</v>
      </c>
      <c r="AR10" s="875">
        <v>755522</v>
      </c>
      <c r="AS10" s="131">
        <v>507181</v>
      </c>
      <c r="AT10" s="142">
        <f>2748082+3495982</f>
        <v>6244064</v>
      </c>
      <c r="AU10" s="136">
        <f>3050715+2622572</f>
        <v>5673287</v>
      </c>
      <c r="AV10" s="142">
        <f aca="true" t="shared" si="2" ref="AV10:AV15">SUM(B10+D10+F10+H10+J10+L10+N10+P10+R10+T10+V10+X10+Z10+AB10+AD10+AF10+AH10+AJ10+AL10+AN10+AP10+AR10+AT10)</f>
        <v>48120943.2</v>
      </c>
      <c r="AW10" s="143">
        <f>SUM(C10+E10+G10+I10+K10+M10+O10+Q10+S10+U10+W10+Y11+AA10+AC10+AE10+AG10+AI10+AK10+AM10+AO10+AQ10+AS10+AU10)</f>
        <v>184732763.6</v>
      </c>
      <c r="AX10" s="142"/>
      <c r="AY10" s="136"/>
      <c r="AZ10" s="142">
        <f aca="true" t="shared" si="3" ref="AZ10:BA15">AV10+AX10</f>
        <v>48120943.2</v>
      </c>
      <c r="BA10" s="143">
        <f t="shared" si="3"/>
        <v>184732763.6</v>
      </c>
    </row>
    <row r="11" spans="1:53" s="109" customFormat="1" ht="14.25">
      <c r="A11" s="493" t="s">
        <v>36</v>
      </c>
      <c r="B11" s="898">
        <v>30416113</v>
      </c>
      <c r="C11" s="110">
        <v>37802776</v>
      </c>
      <c r="D11" s="112">
        <v>1860619</v>
      </c>
      <c r="E11" s="116">
        <v>1691729</v>
      </c>
      <c r="F11" s="115">
        <v>4776258</v>
      </c>
      <c r="G11" s="116">
        <v>7086898</v>
      </c>
      <c r="H11" s="115">
        <v>28647262</v>
      </c>
      <c r="I11" s="116">
        <v>32770196</v>
      </c>
      <c r="J11" s="139">
        <v>2239587</v>
      </c>
      <c r="K11" s="116">
        <v>2169399</v>
      </c>
      <c r="L11" s="139">
        <v>14893315</v>
      </c>
      <c r="M11" s="116">
        <v>8749231</v>
      </c>
      <c r="N11" s="115">
        <v>1677898</v>
      </c>
      <c r="O11" s="116">
        <v>1688149</v>
      </c>
      <c r="P11" s="112">
        <v>867390</v>
      </c>
      <c r="Q11" s="113">
        <v>380341</v>
      </c>
      <c r="R11" s="112">
        <v>7507806</v>
      </c>
      <c r="S11" s="113">
        <v>6457966</v>
      </c>
      <c r="T11" s="112">
        <v>1528150</v>
      </c>
      <c r="U11" s="113">
        <v>1518558</v>
      </c>
      <c r="V11" s="139">
        <v>68778708</v>
      </c>
      <c r="W11" s="116">
        <v>65044787</v>
      </c>
      <c r="X11" s="905">
        <v>162134386</v>
      </c>
      <c r="Y11" s="146">
        <v>149793747</v>
      </c>
      <c r="Z11" s="905">
        <v>3008654</v>
      </c>
      <c r="AA11" s="113">
        <v>1981773</v>
      </c>
      <c r="AB11" s="905">
        <v>27423497.89</v>
      </c>
      <c r="AC11" s="113">
        <v>26968347.95</v>
      </c>
      <c r="AD11" s="905">
        <v>11210116</v>
      </c>
      <c r="AE11" s="113">
        <v>10760261</v>
      </c>
      <c r="AF11" s="905">
        <v>36915072</v>
      </c>
      <c r="AG11" s="108">
        <v>34205467</v>
      </c>
      <c r="AH11" s="905"/>
      <c r="AI11" s="113">
        <v>14457846</v>
      </c>
      <c r="AJ11" s="905">
        <v>11961062</v>
      </c>
      <c r="AK11" s="113">
        <v>14435509</v>
      </c>
      <c r="AL11" s="905"/>
      <c r="AM11" s="1140"/>
      <c r="AN11" s="881">
        <v>47158280</v>
      </c>
      <c r="AO11" s="235">
        <v>37090942</v>
      </c>
      <c r="AP11" s="916">
        <v>1008773</v>
      </c>
      <c r="AQ11" s="918">
        <v>1075631</v>
      </c>
      <c r="AR11" s="875">
        <v>3960283</v>
      </c>
      <c r="AS11" s="131">
        <v>6381128</v>
      </c>
      <c r="AT11" s="139">
        <v>10652158</v>
      </c>
      <c r="AU11" s="116">
        <v>8287490</v>
      </c>
      <c r="AV11" s="142">
        <f t="shared" si="2"/>
        <v>478625387.89</v>
      </c>
      <c r="AW11" s="143">
        <f>SUM(C11+E11+G11+I11+K11+M11+O11+Q11+S11+U11+W11+Y12+AA11+AC11+AE11+AG11+AI11+AK11+AM11+AO11+AQ11+AS11+AU11)</f>
        <v>321004424.95</v>
      </c>
      <c r="AX11" s="875">
        <v>801009990</v>
      </c>
      <c r="AY11" s="131">
        <v>701481159</v>
      </c>
      <c r="AZ11" s="142">
        <f t="shared" si="3"/>
        <v>1279635377.8899999</v>
      </c>
      <c r="BA11" s="143">
        <f t="shared" si="3"/>
        <v>1022485583.95</v>
      </c>
    </row>
    <row r="12" spans="1:53" s="109" customFormat="1" ht="14.25">
      <c r="A12" s="493" t="s">
        <v>37</v>
      </c>
      <c r="B12" s="898"/>
      <c r="C12" s="110"/>
      <c r="D12" s="112"/>
      <c r="E12" s="116"/>
      <c r="F12" s="115"/>
      <c r="G12" s="116"/>
      <c r="H12" s="115"/>
      <c r="I12" s="116"/>
      <c r="J12" s="139"/>
      <c r="K12" s="116"/>
      <c r="L12" s="139"/>
      <c r="M12" s="116"/>
      <c r="N12" s="115"/>
      <c r="O12" s="116"/>
      <c r="P12" s="112"/>
      <c r="Q12" s="113"/>
      <c r="R12" s="112"/>
      <c r="S12" s="113"/>
      <c r="T12" s="112"/>
      <c r="U12" s="113"/>
      <c r="V12" s="139">
        <v>30884004</v>
      </c>
      <c r="W12" s="116">
        <v>22743113</v>
      </c>
      <c r="X12" s="905"/>
      <c r="Y12" s="113"/>
      <c r="Z12" s="905"/>
      <c r="AA12" s="113"/>
      <c r="AB12" s="905"/>
      <c r="AC12" s="113"/>
      <c r="AD12" s="905">
        <v>1220637</v>
      </c>
      <c r="AE12" s="113">
        <v>864744</v>
      </c>
      <c r="AF12" s="905"/>
      <c r="AG12" s="108"/>
      <c r="AH12" s="905"/>
      <c r="AI12" s="113"/>
      <c r="AJ12" s="905"/>
      <c r="AK12" s="113"/>
      <c r="AL12" s="905"/>
      <c r="AM12" s="1140"/>
      <c r="AN12" s="881">
        <v>24320531</v>
      </c>
      <c r="AO12" s="235">
        <v>15238102</v>
      </c>
      <c r="AP12" s="916"/>
      <c r="AQ12" s="918"/>
      <c r="AR12" s="875"/>
      <c r="AS12" s="131"/>
      <c r="AT12" s="139"/>
      <c r="AU12" s="116"/>
      <c r="AV12" s="142">
        <f t="shared" si="2"/>
        <v>56425172</v>
      </c>
      <c r="AW12" s="143">
        <f>SUM(C12+E12+G12+I12+K12+M12+O12+Q12+S12+U12+W12+Y12+AA12+AC12+AE12+AG12+AI12+AK12+AM12+AO12+AQ12+AS12+AU12)</f>
        <v>38845959</v>
      </c>
      <c r="AX12" s="875"/>
      <c r="AY12" s="131"/>
      <c r="AZ12" s="142">
        <f t="shared" si="3"/>
        <v>56425172</v>
      </c>
      <c r="BA12" s="143">
        <f t="shared" si="3"/>
        <v>38845959</v>
      </c>
    </row>
    <row r="13" spans="1:53" s="109" customFormat="1" ht="14.25">
      <c r="A13" s="493" t="s">
        <v>38</v>
      </c>
      <c r="B13" s="898"/>
      <c r="C13" s="110"/>
      <c r="D13" s="112">
        <v>31524</v>
      </c>
      <c r="E13" s="116">
        <v>53932</v>
      </c>
      <c r="F13" s="115"/>
      <c r="G13" s="116"/>
      <c r="H13" s="115"/>
      <c r="I13" s="116"/>
      <c r="J13" s="139"/>
      <c r="K13" s="116"/>
      <c r="L13" s="139">
        <v>2576669</v>
      </c>
      <c r="M13" s="116">
        <v>6409110</v>
      </c>
      <c r="N13" s="115"/>
      <c r="O13" s="116"/>
      <c r="P13" s="112">
        <v>82487</v>
      </c>
      <c r="Q13" s="113">
        <v>100546</v>
      </c>
      <c r="R13" s="112"/>
      <c r="S13" s="113"/>
      <c r="T13" s="112">
        <v>76576</v>
      </c>
      <c r="U13" s="113">
        <v>120985</v>
      </c>
      <c r="V13" s="139">
        <v>19560121</v>
      </c>
      <c r="W13" s="116">
        <v>24410633</v>
      </c>
      <c r="X13" s="905"/>
      <c r="Y13" s="113"/>
      <c r="Z13" s="905"/>
      <c r="AA13" s="113"/>
      <c r="AB13" s="905"/>
      <c r="AC13" s="113"/>
      <c r="AD13" s="905"/>
      <c r="AE13" s="113"/>
      <c r="AF13" s="905"/>
      <c r="AG13" s="108"/>
      <c r="AH13" s="905"/>
      <c r="AI13" s="113"/>
      <c r="AJ13" s="905"/>
      <c r="AK13" s="113"/>
      <c r="AL13" s="905"/>
      <c r="AM13" s="1140"/>
      <c r="AN13" s="881">
        <v>37150112</v>
      </c>
      <c r="AO13" s="235">
        <v>39442883</v>
      </c>
      <c r="AP13" s="916">
        <v>1933</v>
      </c>
      <c r="AQ13" s="918">
        <v>6026</v>
      </c>
      <c r="AR13" s="875"/>
      <c r="AS13" s="131"/>
      <c r="AT13" s="139"/>
      <c r="AU13" s="116"/>
      <c r="AV13" s="142">
        <f t="shared" si="2"/>
        <v>59479422</v>
      </c>
      <c r="AW13" s="143">
        <f>SUM(C13+E13+G13+I13+K13+M13+O13+Q13+S13+U13+W13+Y13+AA13+AC13+AE13+AG13+AI13+AK13+AM13+AO13+AQ13+AS13+AU13)</f>
        <v>70544115</v>
      </c>
      <c r="AX13" s="875"/>
      <c r="AY13" s="131"/>
      <c r="AZ13" s="142">
        <f t="shared" si="3"/>
        <v>59479422</v>
      </c>
      <c r="BA13" s="143">
        <f t="shared" si="3"/>
        <v>70544115</v>
      </c>
    </row>
    <row r="14" spans="1:53" s="109" customFormat="1" ht="14.25">
      <c r="A14" s="493" t="s">
        <v>39</v>
      </c>
      <c r="B14" s="899">
        <v>75565</v>
      </c>
      <c r="C14" s="145">
        <v>85487</v>
      </c>
      <c r="D14" s="123">
        <v>56120</v>
      </c>
      <c r="E14" s="136">
        <v>43749</v>
      </c>
      <c r="F14" s="135">
        <v>2051</v>
      </c>
      <c r="G14" s="136">
        <v>4052</v>
      </c>
      <c r="H14" s="135">
        <v>170832</v>
      </c>
      <c r="I14" s="136">
        <v>177659</v>
      </c>
      <c r="J14" s="142">
        <v>31858</v>
      </c>
      <c r="K14" s="136">
        <v>28438</v>
      </c>
      <c r="L14" s="142"/>
      <c r="M14" s="136"/>
      <c r="N14" s="135"/>
      <c r="O14" s="136"/>
      <c r="P14" s="123"/>
      <c r="Q14" s="146"/>
      <c r="R14" s="123"/>
      <c r="S14" s="146"/>
      <c r="T14" s="123"/>
      <c r="U14" s="146">
        <v>150</v>
      </c>
      <c r="V14" s="142"/>
      <c r="W14" s="136"/>
      <c r="X14" s="906">
        <v>48300</v>
      </c>
      <c r="Y14" s="146">
        <v>54841</v>
      </c>
      <c r="Z14" s="908">
        <v>9890</v>
      </c>
      <c r="AA14" s="117">
        <v>31117</v>
      </c>
      <c r="AB14" s="906"/>
      <c r="AC14" s="146"/>
      <c r="AD14" s="911">
        <v>15266</v>
      </c>
      <c r="AE14" s="912">
        <v>14011</v>
      </c>
      <c r="AF14" s="906"/>
      <c r="AG14" s="108"/>
      <c r="AH14" s="906"/>
      <c r="AI14" s="146"/>
      <c r="AJ14" s="906">
        <v>3295</v>
      </c>
      <c r="AK14" s="146">
        <v>4009</v>
      </c>
      <c r="AL14" s="905"/>
      <c r="AM14" s="1140"/>
      <c r="AN14" s="881">
        <v>175775</v>
      </c>
      <c r="AO14" s="235">
        <v>89856</v>
      </c>
      <c r="AP14" s="916">
        <v>41424</v>
      </c>
      <c r="AQ14" s="918">
        <v>47565</v>
      </c>
      <c r="AR14" s="875">
        <v>4375</v>
      </c>
      <c r="AS14" s="131">
        <v>-250</v>
      </c>
      <c r="AT14" s="142"/>
      <c r="AU14" s="136"/>
      <c r="AV14" s="142">
        <f t="shared" si="2"/>
        <v>634751</v>
      </c>
      <c r="AW14" s="143">
        <f>SUM(C14+E14+G14+I14+K14+M14+O14+Q14+S14+U14+W14+Y14+AA14+AC14+AE14+AG14+AI14+AK14+AM14+AO14+AQ14+AS14+AU14)</f>
        <v>580684</v>
      </c>
      <c r="AX14" s="142"/>
      <c r="AY14" s="136"/>
      <c r="AZ14" s="142">
        <f t="shared" si="3"/>
        <v>634751</v>
      </c>
      <c r="BA14" s="143">
        <f t="shared" si="3"/>
        <v>580684</v>
      </c>
    </row>
    <row r="15" spans="1:53" s="109" customFormat="1" ht="14.25">
      <c r="A15" s="493" t="s">
        <v>40</v>
      </c>
      <c r="B15" s="898">
        <v>325</v>
      </c>
      <c r="C15" s="110">
        <v>3850</v>
      </c>
      <c r="D15" s="112">
        <v>4158</v>
      </c>
      <c r="E15" s="116">
        <v>6004</v>
      </c>
      <c r="F15" s="115">
        <v>11500</v>
      </c>
      <c r="G15" s="116">
        <v>17950</v>
      </c>
      <c r="H15" s="115">
        <v>56540</v>
      </c>
      <c r="I15" s="116">
        <v>81803</v>
      </c>
      <c r="J15" s="139">
        <v>12656</v>
      </c>
      <c r="K15" s="116">
        <v>20963</v>
      </c>
      <c r="L15" s="139">
        <v>604</v>
      </c>
      <c r="M15" s="116">
        <v>2250</v>
      </c>
      <c r="N15" s="115">
        <v>38951</v>
      </c>
      <c r="O15" s="116">
        <v>4502</v>
      </c>
      <c r="P15" s="112">
        <v>3630</v>
      </c>
      <c r="Q15" s="113">
        <v>8500</v>
      </c>
      <c r="R15" s="112"/>
      <c r="S15" s="113"/>
      <c r="T15" s="112">
        <v>11454</v>
      </c>
      <c r="U15" s="113">
        <v>8843</v>
      </c>
      <c r="V15" s="139">
        <v>296009</v>
      </c>
      <c r="W15" s="116">
        <v>354877</v>
      </c>
      <c r="X15" s="905">
        <v>1129386</v>
      </c>
      <c r="Y15" s="113">
        <v>1080882</v>
      </c>
      <c r="Z15" s="908"/>
      <c r="AA15" s="117"/>
      <c r="AB15" s="905">
        <v>16012.25</v>
      </c>
      <c r="AC15" s="113">
        <v>15739.65</v>
      </c>
      <c r="AD15" s="905">
        <v>265</v>
      </c>
      <c r="AE15" s="113"/>
      <c r="AF15" s="905">
        <v>266059</v>
      </c>
      <c r="AG15" s="108">
        <v>106798</v>
      </c>
      <c r="AH15" s="905"/>
      <c r="AI15" s="113">
        <v>79721</v>
      </c>
      <c r="AJ15" s="905">
        <v>16253</v>
      </c>
      <c r="AK15" s="113">
        <v>13899</v>
      </c>
      <c r="AL15" s="905"/>
      <c r="AM15" s="1140"/>
      <c r="AN15" s="881">
        <v>29063</v>
      </c>
      <c r="AO15" s="235">
        <v>16554</v>
      </c>
      <c r="AP15" s="916"/>
      <c r="AQ15" s="918"/>
      <c r="AR15" s="875">
        <v>16526</v>
      </c>
      <c r="AS15" s="131">
        <v>29531</v>
      </c>
      <c r="AT15" s="139">
        <v>7064</v>
      </c>
      <c r="AU15" s="116">
        <v>6682</v>
      </c>
      <c r="AV15" s="142">
        <f t="shared" si="2"/>
        <v>1916455.25</v>
      </c>
      <c r="AW15" s="143">
        <f>SUM(C15+E15+G15+I15+K15+M15+O15+Q15+S15+U15+W15+Y15+AA15+AC15+AE15+AG15+AI15+AK15+AM15+AO15+AQ15+AS15+AU15)</f>
        <v>1859348.65</v>
      </c>
      <c r="AX15" s="139">
        <f>-1+124677+154986+134937</f>
        <v>414599</v>
      </c>
      <c r="AY15" s="116">
        <f>8+154101+162184+134993+25151</f>
        <v>476437</v>
      </c>
      <c r="AZ15" s="142">
        <f t="shared" si="3"/>
        <v>2331054.25</v>
      </c>
      <c r="BA15" s="143">
        <f t="shared" si="3"/>
        <v>2335785.65</v>
      </c>
    </row>
    <row r="16" spans="1:53" s="109" customFormat="1" ht="15" customHeight="1">
      <c r="A16" s="493" t="s">
        <v>41</v>
      </c>
      <c r="B16" s="898"/>
      <c r="C16" s="110"/>
      <c r="D16" s="112"/>
      <c r="E16" s="116"/>
      <c r="F16" s="115"/>
      <c r="G16" s="116"/>
      <c r="H16" s="115"/>
      <c r="I16" s="116"/>
      <c r="J16" s="139"/>
      <c r="K16" s="116"/>
      <c r="L16" s="139"/>
      <c r="M16" s="116"/>
      <c r="N16" s="115"/>
      <c r="O16" s="116"/>
      <c r="P16" s="112"/>
      <c r="Q16" s="113"/>
      <c r="R16" s="112"/>
      <c r="S16" s="113"/>
      <c r="T16" s="112"/>
      <c r="U16" s="113"/>
      <c r="V16" s="139"/>
      <c r="W16" s="116"/>
      <c r="X16" s="905"/>
      <c r="Y16" s="113"/>
      <c r="Z16" s="908"/>
      <c r="AA16" s="117"/>
      <c r="AB16" s="905"/>
      <c r="AC16" s="113"/>
      <c r="AD16" s="905"/>
      <c r="AE16" s="113"/>
      <c r="AF16" s="905"/>
      <c r="AG16" s="108"/>
      <c r="AH16" s="905"/>
      <c r="AI16" s="113"/>
      <c r="AJ16" s="905"/>
      <c r="AK16" s="113"/>
      <c r="AL16" s="905"/>
      <c r="AM16" s="1140"/>
      <c r="AN16" s="881"/>
      <c r="AO16" s="235"/>
      <c r="AP16" s="916"/>
      <c r="AQ16" s="918"/>
      <c r="AR16" s="875"/>
      <c r="AS16" s="131"/>
      <c r="AT16" s="139"/>
      <c r="AU16" s="116"/>
      <c r="AV16" s="142"/>
      <c r="AW16" s="143"/>
      <c r="AX16" s="139">
        <v>135787</v>
      </c>
      <c r="AY16" s="116">
        <v>74551</v>
      </c>
      <c r="AZ16" s="142">
        <f aca="true" t="shared" si="4" ref="AZ16:AZ22">AV16+AX16</f>
        <v>135787</v>
      </c>
      <c r="BA16" s="143"/>
    </row>
    <row r="17" spans="1:53" s="109" customFormat="1" ht="14.25">
      <c r="A17" s="493" t="s">
        <v>42</v>
      </c>
      <c r="B17" s="898"/>
      <c r="C17" s="110"/>
      <c r="D17" s="112"/>
      <c r="E17" s="116"/>
      <c r="F17" s="115"/>
      <c r="G17" s="116"/>
      <c r="H17" s="115"/>
      <c r="I17" s="116"/>
      <c r="J17" s="139"/>
      <c r="K17" s="116"/>
      <c r="L17" s="139"/>
      <c r="M17" s="116"/>
      <c r="N17" s="115"/>
      <c r="O17" s="116"/>
      <c r="P17" s="112"/>
      <c r="Q17" s="113"/>
      <c r="R17" s="112"/>
      <c r="S17" s="113"/>
      <c r="T17" s="112"/>
      <c r="U17" s="113"/>
      <c r="V17" s="139"/>
      <c r="W17" s="116"/>
      <c r="X17" s="905"/>
      <c r="Y17" s="113"/>
      <c r="Z17" s="908"/>
      <c r="AA17" s="117"/>
      <c r="AB17" s="905"/>
      <c r="AC17" s="113"/>
      <c r="AD17" s="905"/>
      <c r="AE17" s="113"/>
      <c r="AF17" s="905">
        <v>11431065</v>
      </c>
      <c r="AG17" s="108">
        <v>11334445</v>
      </c>
      <c r="AH17" s="905"/>
      <c r="AI17" s="113"/>
      <c r="AJ17" s="905"/>
      <c r="AK17" s="113"/>
      <c r="AL17" s="905"/>
      <c r="AM17" s="1140"/>
      <c r="AN17" s="881"/>
      <c r="AO17" s="235"/>
      <c r="AP17" s="916">
        <v>3766</v>
      </c>
      <c r="AQ17" s="918">
        <v>3422</v>
      </c>
      <c r="AR17" s="875"/>
      <c r="AS17" s="131"/>
      <c r="AT17" s="139"/>
      <c r="AU17" s="116"/>
      <c r="AV17" s="142">
        <f aca="true" t="shared" si="5" ref="AV17:AW22">SUM(B17+D17+F17+H17+J17+L17+N17+P17+R17+T17+V17+X17+Z17+AB17+AD17+AF17+AH17+AJ17+AL17+AN17+AP17+AR17+AT17)</f>
        <v>11434831</v>
      </c>
      <c r="AW17" s="143">
        <f t="shared" si="5"/>
        <v>11337867</v>
      </c>
      <c r="AX17" s="139"/>
      <c r="AY17" s="116"/>
      <c r="AZ17" s="142">
        <f t="shared" si="4"/>
        <v>11434831</v>
      </c>
      <c r="BA17" s="143">
        <f aca="true" t="shared" si="6" ref="BA17:BA22">AW17+AY17</f>
        <v>11337867</v>
      </c>
    </row>
    <row r="18" spans="1:53" s="109" customFormat="1" ht="14.25">
      <c r="A18" s="493" t="s">
        <v>43</v>
      </c>
      <c r="B18" s="898"/>
      <c r="C18" s="110"/>
      <c r="D18" s="112"/>
      <c r="E18" s="116"/>
      <c r="F18" s="115"/>
      <c r="G18" s="116"/>
      <c r="H18" s="115"/>
      <c r="I18" s="116"/>
      <c r="J18" s="139"/>
      <c r="K18" s="116"/>
      <c r="L18" s="139"/>
      <c r="M18" s="116"/>
      <c r="N18" s="115"/>
      <c r="O18" s="116"/>
      <c r="P18" s="112"/>
      <c r="Q18" s="113"/>
      <c r="R18" s="112"/>
      <c r="S18" s="113"/>
      <c r="T18" s="112"/>
      <c r="U18" s="113"/>
      <c r="V18" s="139">
        <v>2233447</v>
      </c>
      <c r="W18" s="116">
        <v>2527230</v>
      </c>
      <c r="X18" s="905"/>
      <c r="Y18" s="113"/>
      <c r="Z18" s="908"/>
      <c r="AA18" s="117"/>
      <c r="AB18" s="905"/>
      <c r="AC18" s="113"/>
      <c r="AD18" s="905"/>
      <c r="AE18" s="113"/>
      <c r="AF18" s="905"/>
      <c r="AG18" s="108"/>
      <c r="AH18" s="905"/>
      <c r="AI18" s="113"/>
      <c r="AJ18" s="905"/>
      <c r="AK18" s="113"/>
      <c r="AL18" s="905"/>
      <c r="AM18" s="1140"/>
      <c r="AN18" s="881"/>
      <c r="AO18" s="235"/>
      <c r="AP18" s="916"/>
      <c r="AQ18" s="918"/>
      <c r="AR18" s="875"/>
      <c r="AS18" s="131"/>
      <c r="AT18" s="139"/>
      <c r="AU18" s="116"/>
      <c r="AV18" s="142">
        <f t="shared" si="5"/>
        <v>2233447</v>
      </c>
      <c r="AW18" s="143">
        <f t="shared" si="5"/>
        <v>2527230</v>
      </c>
      <c r="AX18" s="139"/>
      <c r="AY18" s="116"/>
      <c r="AZ18" s="142">
        <f t="shared" si="4"/>
        <v>2233447</v>
      </c>
      <c r="BA18" s="143">
        <f t="shared" si="6"/>
        <v>2527230</v>
      </c>
    </row>
    <row r="19" spans="1:53" s="109" customFormat="1" ht="14.25">
      <c r="A19" s="493" t="s">
        <v>44</v>
      </c>
      <c r="B19" s="898"/>
      <c r="C19" s="110"/>
      <c r="D19" s="112"/>
      <c r="E19" s="116"/>
      <c r="F19" s="115"/>
      <c r="G19" s="116"/>
      <c r="H19" s="115"/>
      <c r="I19" s="116"/>
      <c r="J19" s="139"/>
      <c r="K19" s="116"/>
      <c r="L19" s="139"/>
      <c r="M19" s="116"/>
      <c r="N19" s="115"/>
      <c r="O19" s="116"/>
      <c r="P19" s="112"/>
      <c r="Q19" s="113"/>
      <c r="R19" s="112"/>
      <c r="S19" s="113"/>
      <c r="T19" s="112"/>
      <c r="U19" s="113"/>
      <c r="V19" s="139">
        <v>198892</v>
      </c>
      <c r="W19" s="116">
        <v>187550</v>
      </c>
      <c r="X19" s="905"/>
      <c r="Y19" s="113"/>
      <c r="Z19" s="908"/>
      <c r="AA19" s="117"/>
      <c r="AB19" s="905"/>
      <c r="AC19" s="113"/>
      <c r="AD19" s="905"/>
      <c r="AE19" s="113"/>
      <c r="AF19" s="905"/>
      <c r="AG19" s="108"/>
      <c r="AH19" s="905"/>
      <c r="AI19" s="113"/>
      <c r="AJ19" s="905"/>
      <c r="AK19" s="113"/>
      <c r="AL19" s="905"/>
      <c r="AM19" s="1140"/>
      <c r="AN19" s="881"/>
      <c r="AO19" s="235"/>
      <c r="AP19" s="916"/>
      <c r="AQ19" s="918"/>
      <c r="AR19" s="875"/>
      <c r="AS19" s="131"/>
      <c r="AT19" s="139"/>
      <c r="AU19" s="116"/>
      <c r="AV19" s="142">
        <f t="shared" si="5"/>
        <v>198892</v>
      </c>
      <c r="AW19" s="143">
        <f t="shared" si="5"/>
        <v>187550</v>
      </c>
      <c r="AX19" s="139"/>
      <c r="AY19" s="116"/>
      <c r="AZ19" s="142">
        <f t="shared" si="4"/>
        <v>198892</v>
      </c>
      <c r="BA19" s="143">
        <f t="shared" si="6"/>
        <v>187550</v>
      </c>
    </row>
    <row r="20" spans="1:53" s="109" customFormat="1" ht="14.25">
      <c r="A20" s="493" t="s">
        <v>45</v>
      </c>
      <c r="B20" s="898"/>
      <c r="C20" s="110"/>
      <c r="D20" s="112">
        <v>10163</v>
      </c>
      <c r="E20" s="116">
        <v>16966</v>
      </c>
      <c r="F20" s="115">
        <v>73656</v>
      </c>
      <c r="G20" s="116">
        <v>125427</v>
      </c>
      <c r="H20" s="115">
        <v>171826</v>
      </c>
      <c r="I20" s="116">
        <v>486511</v>
      </c>
      <c r="J20" s="139"/>
      <c r="K20" s="116"/>
      <c r="L20" s="139"/>
      <c r="M20" s="116"/>
      <c r="N20" s="115">
        <v>7844</v>
      </c>
      <c r="O20" s="116">
        <v>12621</v>
      </c>
      <c r="P20" s="112">
        <v>1113</v>
      </c>
      <c r="Q20" s="113">
        <v>827</v>
      </c>
      <c r="R20" s="112"/>
      <c r="S20" s="113"/>
      <c r="T20" s="112"/>
      <c r="U20" s="113"/>
      <c r="V20" s="139">
        <v>263234</v>
      </c>
      <c r="W20" s="116">
        <v>394985</v>
      </c>
      <c r="X20" s="905">
        <v>413464</v>
      </c>
      <c r="Y20" s="113">
        <v>411493</v>
      </c>
      <c r="Z20" s="908"/>
      <c r="AA20" s="117"/>
      <c r="AB20" s="905"/>
      <c r="AC20" s="113"/>
      <c r="AD20" s="905"/>
      <c r="AE20" s="113"/>
      <c r="AF20" s="905"/>
      <c r="AG20" s="108"/>
      <c r="AH20" s="905"/>
      <c r="AI20" s="113">
        <v>132611</v>
      </c>
      <c r="AJ20" s="905"/>
      <c r="AK20" s="113"/>
      <c r="AL20" s="905"/>
      <c r="AM20" s="1140"/>
      <c r="AN20" s="881">
        <v>130543</v>
      </c>
      <c r="AO20" s="235">
        <v>194544</v>
      </c>
      <c r="AP20" s="916"/>
      <c r="AQ20" s="918"/>
      <c r="AR20" s="875"/>
      <c r="AS20" s="131"/>
      <c r="AT20" s="139">
        <v>46703</v>
      </c>
      <c r="AU20" s="116">
        <v>71879</v>
      </c>
      <c r="AV20" s="142">
        <f t="shared" si="5"/>
        <v>1118546</v>
      </c>
      <c r="AW20" s="143">
        <f t="shared" si="5"/>
        <v>1847864</v>
      </c>
      <c r="AX20" s="139">
        <v>8505637</v>
      </c>
      <c r="AY20" s="116">
        <v>8767232</v>
      </c>
      <c r="AZ20" s="142">
        <f t="shared" si="4"/>
        <v>9624183</v>
      </c>
      <c r="BA20" s="143">
        <f t="shared" si="6"/>
        <v>10615096</v>
      </c>
    </row>
    <row r="21" spans="1:53" s="109" customFormat="1" ht="14.25">
      <c r="A21" s="493" t="s">
        <v>46</v>
      </c>
      <c r="B21" s="898"/>
      <c r="C21" s="110"/>
      <c r="D21" s="112"/>
      <c r="E21" s="116"/>
      <c r="F21" s="115"/>
      <c r="G21" s="116"/>
      <c r="H21" s="115"/>
      <c r="I21" s="116"/>
      <c r="J21" s="139"/>
      <c r="K21" s="116"/>
      <c r="L21" s="139"/>
      <c r="M21" s="116"/>
      <c r="N21" s="115">
        <v>7696</v>
      </c>
      <c r="O21" s="116">
        <v>6330</v>
      </c>
      <c r="P21" s="112"/>
      <c r="Q21" s="113"/>
      <c r="R21" s="112"/>
      <c r="S21" s="113"/>
      <c r="T21" s="112">
        <v>8175</v>
      </c>
      <c r="U21" s="113">
        <v>6214</v>
      </c>
      <c r="V21" s="139"/>
      <c r="W21" s="116"/>
      <c r="X21" s="905"/>
      <c r="Y21" s="113"/>
      <c r="Z21" s="908"/>
      <c r="AA21" s="117"/>
      <c r="AB21" s="905">
        <v>7230.49</v>
      </c>
      <c r="AC21" s="113">
        <v>5097.85</v>
      </c>
      <c r="AD21" s="905"/>
      <c r="AE21" s="113"/>
      <c r="AF21" s="905"/>
      <c r="AG21" s="108"/>
      <c r="AH21" s="905"/>
      <c r="AI21" s="113"/>
      <c r="AJ21" s="905">
        <v>8235</v>
      </c>
      <c r="AK21" s="113">
        <v>4870</v>
      </c>
      <c r="AL21" s="905"/>
      <c r="AM21" s="1140"/>
      <c r="AN21" s="114"/>
      <c r="AO21" s="235"/>
      <c r="AP21" s="916"/>
      <c r="AQ21" s="918"/>
      <c r="AR21" s="875"/>
      <c r="AS21" s="131"/>
      <c r="AT21" s="139"/>
      <c r="AU21" s="116"/>
      <c r="AV21" s="142">
        <f t="shared" si="5"/>
        <v>31336.489999999998</v>
      </c>
      <c r="AW21" s="143">
        <f t="shared" si="5"/>
        <v>22511.85</v>
      </c>
      <c r="AX21" s="139"/>
      <c r="AY21" s="116"/>
      <c r="AZ21" s="142">
        <f t="shared" si="4"/>
        <v>31336.489999999998</v>
      </c>
      <c r="BA21" s="143">
        <f t="shared" si="6"/>
        <v>22511.85</v>
      </c>
    </row>
    <row r="22" spans="1:53" s="109" customFormat="1" ht="14.25">
      <c r="A22" s="493" t="s">
        <v>47</v>
      </c>
      <c r="B22" s="898"/>
      <c r="C22" s="110"/>
      <c r="D22" s="112"/>
      <c r="E22" s="116"/>
      <c r="F22" s="115"/>
      <c r="G22" s="116"/>
      <c r="H22" s="115">
        <v>170144</v>
      </c>
      <c r="I22" s="116">
        <v>168655</v>
      </c>
      <c r="J22" s="139"/>
      <c r="K22" s="116"/>
      <c r="L22" s="139"/>
      <c r="M22" s="116"/>
      <c r="N22" s="115">
        <v>8612</v>
      </c>
      <c r="O22" s="116">
        <v>18394</v>
      </c>
      <c r="P22" s="112"/>
      <c r="Q22" s="113"/>
      <c r="R22" s="112"/>
      <c r="S22" s="113"/>
      <c r="T22" s="144">
        <f>479741+659843+7893</f>
        <v>1147477</v>
      </c>
      <c r="U22" s="166">
        <f>627716+661052+6287</f>
        <v>1295055</v>
      </c>
      <c r="V22" s="139"/>
      <c r="W22" s="116"/>
      <c r="X22" s="905"/>
      <c r="Y22" s="113"/>
      <c r="Z22" s="908">
        <v>1640</v>
      </c>
      <c r="AA22" s="117">
        <v>1805</v>
      </c>
      <c r="AB22" s="905"/>
      <c r="AC22" s="113"/>
      <c r="AD22" s="905">
        <f>5552+14500</f>
        <v>20052</v>
      </c>
      <c r="AE22" s="113">
        <f>-2845+17343</f>
        <v>14498</v>
      </c>
      <c r="AF22" s="905">
        <v>306894</v>
      </c>
      <c r="AG22" s="108">
        <v>259159</v>
      </c>
      <c r="AH22" s="905"/>
      <c r="AI22" s="113"/>
      <c r="AJ22" s="905">
        <v>133083</v>
      </c>
      <c r="AK22" s="113">
        <v>222073</v>
      </c>
      <c r="AL22" s="905"/>
      <c r="AM22" s="1140"/>
      <c r="AN22" s="881">
        <v>35052</v>
      </c>
      <c r="AO22" s="235">
        <v>12174</v>
      </c>
      <c r="AP22" s="916">
        <v>18536</v>
      </c>
      <c r="AQ22" s="918">
        <v>25014</v>
      </c>
      <c r="AR22" s="875">
        <f>1781768+7019+7215+16807+21516</f>
        <v>1834325</v>
      </c>
      <c r="AS22" s="131">
        <f>558890+5691+3587+2946+37679</f>
        <v>608793</v>
      </c>
      <c r="AT22" s="139">
        <v>751</v>
      </c>
      <c r="AU22" s="116">
        <v>3557</v>
      </c>
      <c r="AV22" s="142">
        <f t="shared" si="5"/>
        <v>3676566</v>
      </c>
      <c r="AW22" s="143">
        <f t="shared" si="5"/>
        <v>2629177</v>
      </c>
      <c r="AX22" s="139">
        <v>60266</v>
      </c>
      <c r="AY22" s="116">
        <v>99934</v>
      </c>
      <c r="AZ22" s="142">
        <f t="shared" si="4"/>
        <v>3736832</v>
      </c>
      <c r="BA22" s="143">
        <f t="shared" si="6"/>
        <v>2729111</v>
      </c>
    </row>
    <row r="23" spans="1:53" s="109" customFormat="1" ht="14.25">
      <c r="A23" s="493" t="s">
        <v>48</v>
      </c>
      <c r="B23" s="898"/>
      <c r="C23" s="110"/>
      <c r="D23" s="112"/>
      <c r="E23" s="116"/>
      <c r="F23" s="115"/>
      <c r="G23" s="116"/>
      <c r="H23" s="115"/>
      <c r="I23" s="116"/>
      <c r="J23" s="139"/>
      <c r="K23" s="116"/>
      <c r="L23" s="139"/>
      <c r="M23" s="116"/>
      <c r="N23" s="115"/>
      <c r="O23" s="116"/>
      <c r="P23" s="112"/>
      <c r="Q23" s="113"/>
      <c r="R23" s="112"/>
      <c r="S23" s="113"/>
      <c r="T23" s="112"/>
      <c r="U23" s="113"/>
      <c r="V23" s="139"/>
      <c r="W23" s="116"/>
      <c r="X23" s="905"/>
      <c r="Y23" s="113"/>
      <c r="Z23" s="908"/>
      <c r="AA23" s="117"/>
      <c r="AB23" s="905"/>
      <c r="AC23" s="113"/>
      <c r="AD23" s="905"/>
      <c r="AE23" s="113"/>
      <c r="AF23" s="905"/>
      <c r="AG23" s="108"/>
      <c r="AH23" s="905"/>
      <c r="AI23" s="113"/>
      <c r="AJ23" s="905"/>
      <c r="AK23" s="113"/>
      <c r="AL23" s="905"/>
      <c r="AM23" s="1140"/>
      <c r="AN23" s="114"/>
      <c r="AO23" s="116"/>
      <c r="AP23" s="916"/>
      <c r="AQ23" s="918"/>
      <c r="AR23" s="875"/>
      <c r="AS23" s="131"/>
      <c r="AT23" s="139"/>
      <c r="AU23" s="116"/>
      <c r="AV23" s="142"/>
      <c r="AW23" s="143"/>
      <c r="AX23" s="139"/>
      <c r="AY23" s="116"/>
      <c r="AZ23" s="142"/>
      <c r="BA23" s="143"/>
    </row>
    <row r="24" spans="1:53" s="109" customFormat="1" ht="14.25">
      <c r="A24" s="493" t="s">
        <v>31</v>
      </c>
      <c r="B24" s="899">
        <v>-3194123</v>
      </c>
      <c r="C24" s="145">
        <v>-2291393</v>
      </c>
      <c r="D24" s="123">
        <v>-844557</v>
      </c>
      <c r="E24" s="136">
        <v>-466468</v>
      </c>
      <c r="F24" s="135">
        <v>-638075</v>
      </c>
      <c r="G24" s="136">
        <v>-487648</v>
      </c>
      <c r="H24" s="135">
        <v>-1050473</v>
      </c>
      <c r="I24" s="136">
        <v>-515792</v>
      </c>
      <c r="J24" s="142">
        <v>-327153</v>
      </c>
      <c r="K24" s="136">
        <v>-184066</v>
      </c>
      <c r="L24" s="142">
        <v>-883829</v>
      </c>
      <c r="M24" s="136">
        <v>-547342</v>
      </c>
      <c r="N24" s="135">
        <v>-1129586</v>
      </c>
      <c r="O24" s="136">
        <v>-1501645</v>
      </c>
      <c r="P24" s="123">
        <v>-516082</v>
      </c>
      <c r="Q24" s="146">
        <v>-359557</v>
      </c>
      <c r="R24" s="123">
        <v>-931162</v>
      </c>
      <c r="S24" s="146">
        <v>-757175</v>
      </c>
      <c r="T24" s="123">
        <v>-775836</v>
      </c>
      <c r="U24" s="146">
        <v>-573406</v>
      </c>
      <c r="V24" s="142">
        <v>-6409871</v>
      </c>
      <c r="W24" s="136">
        <v>-3467455</v>
      </c>
      <c r="X24" s="906">
        <v>-9038787</v>
      </c>
      <c r="Y24" s="146">
        <v>-5202488</v>
      </c>
      <c r="Z24" s="908">
        <v>-355942</v>
      </c>
      <c r="AA24" s="117">
        <v>-175096</v>
      </c>
      <c r="AB24" s="906">
        <v>-1463699.85</v>
      </c>
      <c r="AC24" s="146">
        <v>-995990.59</v>
      </c>
      <c r="AD24" s="911">
        <v>-2065169</v>
      </c>
      <c r="AE24" s="912">
        <v>-1246627</v>
      </c>
      <c r="AF24" s="906">
        <v>-3401556</v>
      </c>
      <c r="AG24" s="108">
        <v>-1886455</v>
      </c>
      <c r="AH24" s="906"/>
      <c r="AI24" s="146">
        <v>-968580</v>
      </c>
      <c r="AJ24" s="906">
        <v>-260108</v>
      </c>
      <c r="AK24" s="146">
        <v>-208168</v>
      </c>
      <c r="AL24" s="905"/>
      <c r="AM24" s="1140"/>
      <c r="AN24" s="881">
        <v>-4047654</v>
      </c>
      <c r="AO24" s="235">
        <v>-1912942</v>
      </c>
      <c r="AP24" s="916">
        <v>-67855</v>
      </c>
      <c r="AQ24" s="918">
        <v>-69368</v>
      </c>
      <c r="AR24" s="875">
        <v>-768577</v>
      </c>
      <c r="AS24" s="131">
        <v>-485213</v>
      </c>
      <c r="AT24" s="142">
        <v>-3267714</v>
      </c>
      <c r="AU24" s="136">
        <v>-1555787</v>
      </c>
      <c r="AV24" s="142">
        <f>SUM(B24+D24+F24+H24+J24+L24+N24+P24+R24+T24+V24+X24+Z24+AB24+AD24+AF24+AH24+AJ24+AL24+AN24+AP24+AR24+AT24)</f>
        <v>-41437808.85</v>
      </c>
      <c r="AW24" s="143">
        <f>SUM(C24+E24+G24+I24+K24+M24+O24+Q24+S24+U24+W24+Y24+AA24+AC24+AE24+AG24+AI24+AK24+AM24+AO24+AQ24+AS24+AU24)</f>
        <v>-25858661.59</v>
      </c>
      <c r="AX24" s="142">
        <v>-4405750</v>
      </c>
      <c r="AY24" s="136">
        <v>-1838943</v>
      </c>
      <c r="AZ24" s="142">
        <f>AV24+AX24</f>
        <v>-45843558.85</v>
      </c>
      <c r="BA24" s="143">
        <f>AW24+AY24</f>
        <v>-27697604.59</v>
      </c>
    </row>
    <row r="25" spans="1:53" s="109" customFormat="1" ht="14.25">
      <c r="A25" s="493" t="s">
        <v>32</v>
      </c>
      <c r="B25" s="898"/>
      <c r="C25" s="110"/>
      <c r="D25" s="112"/>
      <c r="E25" s="116"/>
      <c r="F25" s="115"/>
      <c r="G25" s="116"/>
      <c r="H25" s="115"/>
      <c r="I25" s="116"/>
      <c r="J25" s="139"/>
      <c r="K25" s="116"/>
      <c r="L25" s="139"/>
      <c r="M25" s="116"/>
      <c r="N25" s="115"/>
      <c r="O25" s="116"/>
      <c r="P25" s="112"/>
      <c r="Q25" s="113"/>
      <c r="R25" s="112"/>
      <c r="S25" s="113"/>
      <c r="T25" s="112"/>
      <c r="U25" s="113"/>
      <c r="V25" s="139"/>
      <c r="W25" s="116"/>
      <c r="X25" s="905"/>
      <c r="Y25" s="113"/>
      <c r="Z25" s="908"/>
      <c r="AA25" s="117"/>
      <c r="AB25" s="905"/>
      <c r="AC25" s="113"/>
      <c r="AD25" s="905"/>
      <c r="AE25" s="113"/>
      <c r="AF25" s="905"/>
      <c r="AG25" s="108"/>
      <c r="AH25" s="905"/>
      <c r="AI25" s="113"/>
      <c r="AJ25" s="905"/>
      <c r="AK25" s="113"/>
      <c r="AL25" s="905"/>
      <c r="AM25" s="1140"/>
      <c r="AN25" s="114"/>
      <c r="AO25" s="116"/>
      <c r="AP25" s="916"/>
      <c r="AQ25" s="918"/>
      <c r="AR25" s="875"/>
      <c r="AS25" s="131"/>
      <c r="AT25" s="139"/>
      <c r="AU25" s="116"/>
      <c r="AV25" s="142"/>
      <c r="AW25" s="143"/>
      <c r="AX25" s="875"/>
      <c r="AY25" s="131"/>
      <c r="AZ25" s="142"/>
      <c r="BA25" s="143"/>
    </row>
    <row r="26" spans="1:53" s="109" customFormat="1" ht="14.25">
      <c r="A26" s="493" t="s">
        <v>49</v>
      </c>
      <c r="B26" s="898"/>
      <c r="C26" s="110"/>
      <c r="D26" s="112"/>
      <c r="E26" s="116"/>
      <c r="F26" s="115"/>
      <c r="G26" s="116"/>
      <c r="H26" s="115"/>
      <c r="I26" s="116"/>
      <c r="J26" s="139"/>
      <c r="K26" s="116"/>
      <c r="L26" s="139"/>
      <c r="M26" s="116"/>
      <c r="N26" s="115"/>
      <c r="O26" s="116"/>
      <c r="P26" s="112"/>
      <c r="Q26" s="113"/>
      <c r="R26" s="112"/>
      <c r="S26" s="113"/>
      <c r="T26" s="112"/>
      <c r="U26" s="113"/>
      <c r="V26" s="139"/>
      <c r="W26" s="116"/>
      <c r="X26" s="905"/>
      <c r="Y26" s="113"/>
      <c r="Z26" s="908"/>
      <c r="AA26" s="117"/>
      <c r="AB26" s="905"/>
      <c r="AC26" s="113"/>
      <c r="AD26" s="905"/>
      <c r="AE26" s="113"/>
      <c r="AF26" s="905"/>
      <c r="AG26" s="108"/>
      <c r="AH26" s="905"/>
      <c r="AI26" s="113"/>
      <c r="AJ26" s="905"/>
      <c r="AK26" s="113"/>
      <c r="AL26" s="905"/>
      <c r="AM26" s="1140"/>
      <c r="AN26" s="114"/>
      <c r="AO26" s="116"/>
      <c r="AP26" s="916"/>
      <c r="AQ26" s="918"/>
      <c r="AR26" s="875"/>
      <c r="AS26" s="131"/>
      <c r="AT26" s="139"/>
      <c r="AU26" s="116"/>
      <c r="AV26" s="142"/>
      <c r="AW26" s="143"/>
      <c r="AX26" s="875"/>
      <c r="AY26" s="131"/>
      <c r="AZ26" s="142"/>
      <c r="BA26" s="143"/>
    </row>
    <row r="27" spans="1:53" s="109" customFormat="1" ht="14.25">
      <c r="A27" s="493" t="s">
        <v>50</v>
      </c>
      <c r="B27" s="898">
        <v>-19021</v>
      </c>
      <c r="C27" s="110">
        <v>-28915</v>
      </c>
      <c r="D27" s="112">
        <v>-2002</v>
      </c>
      <c r="E27" s="116">
        <v>-2865</v>
      </c>
      <c r="F27" s="115"/>
      <c r="G27" s="116"/>
      <c r="H27" s="115">
        <v>-1085</v>
      </c>
      <c r="I27" s="116">
        <f>-600-1346</f>
        <v>-1946</v>
      </c>
      <c r="J27" s="139">
        <v>-3596</v>
      </c>
      <c r="K27" s="116">
        <v>-12361</v>
      </c>
      <c r="L27" s="139"/>
      <c r="M27" s="116"/>
      <c r="N27" s="115">
        <v>-500</v>
      </c>
      <c r="O27" s="116">
        <v>-2358</v>
      </c>
      <c r="P27" s="112">
        <v>-4862</v>
      </c>
      <c r="Q27" s="113">
        <v>-13731</v>
      </c>
      <c r="R27" s="112"/>
      <c r="S27" s="113"/>
      <c r="T27" s="112">
        <v>-4642</v>
      </c>
      <c r="U27" s="113">
        <v>-6973</v>
      </c>
      <c r="V27" s="139">
        <v>-205647</v>
      </c>
      <c r="W27" s="116">
        <v>-631043</v>
      </c>
      <c r="X27" s="905">
        <v>-521247</v>
      </c>
      <c r="Y27" s="113">
        <v>-408599</v>
      </c>
      <c r="Z27" s="908">
        <v>-59</v>
      </c>
      <c r="AA27" s="117">
        <v>-137</v>
      </c>
      <c r="AB27" s="905">
        <v>-7734.19</v>
      </c>
      <c r="AC27" s="113">
        <v>-6977.07</v>
      </c>
      <c r="AD27" s="905"/>
      <c r="AE27" s="113"/>
      <c r="AF27" s="905">
        <v>-69808</v>
      </c>
      <c r="AG27" s="108">
        <v>-89162</v>
      </c>
      <c r="AH27" s="905"/>
      <c r="AI27" s="113">
        <v>-29076</v>
      </c>
      <c r="AJ27" s="905">
        <v>-3835</v>
      </c>
      <c r="AK27" s="113">
        <v>-922</v>
      </c>
      <c r="AL27" s="905"/>
      <c r="AM27" s="1140"/>
      <c r="AN27" s="881">
        <v>-4094</v>
      </c>
      <c r="AO27" s="235">
        <v>-1526</v>
      </c>
      <c r="AP27" s="916"/>
      <c r="AQ27" s="918"/>
      <c r="AR27" s="875">
        <v>-8445</v>
      </c>
      <c r="AS27" s="131">
        <v>-13080</v>
      </c>
      <c r="AT27" s="139"/>
      <c r="AU27" s="116"/>
      <c r="AV27" s="142">
        <f>SUM(B27+D27+F27+H27+J27+L27+N27+P27+R27+T27+V27+X27+Z27+AB27+AD27+AF27+AH27+AJ27+AL27+AN27+AP27+AR27+AT27)</f>
        <v>-856577.19</v>
      </c>
      <c r="AW27" s="143">
        <f>SUM(C27+E27+G27+I27+K27+M27+O27+Q27+S27+U27+W27+Y27+AA27+AC27+AE27+AG27+AI27+AK27+AM27+AO27+AQ27+AS27+AU27)</f>
        <v>-1249671.07</v>
      </c>
      <c r="AX27" s="875">
        <v>-265040</v>
      </c>
      <c r="AY27" s="131">
        <v>-273691</v>
      </c>
      <c r="AZ27" s="142">
        <f>AV27+AX27</f>
        <v>-1121617.19</v>
      </c>
      <c r="BA27" s="143">
        <f>AW27+AY27</f>
        <v>-1523362.07</v>
      </c>
    </row>
    <row r="28" spans="1:53" s="109" customFormat="1" ht="14.25">
      <c r="A28" s="493" t="s">
        <v>51</v>
      </c>
      <c r="B28" s="898"/>
      <c r="C28" s="110"/>
      <c r="D28" s="112">
        <v>-14122</v>
      </c>
      <c r="E28" s="116">
        <v>-36195</v>
      </c>
      <c r="F28" s="115"/>
      <c r="G28" s="116"/>
      <c r="H28" s="115">
        <v>1694</v>
      </c>
      <c r="I28" s="116">
        <v>-1834</v>
      </c>
      <c r="J28" s="139"/>
      <c r="K28" s="116"/>
      <c r="L28" s="139"/>
      <c r="M28" s="116"/>
      <c r="N28" s="115"/>
      <c r="O28" s="116"/>
      <c r="P28" s="112"/>
      <c r="Q28" s="113"/>
      <c r="R28" s="112"/>
      <c r="S28" s="113"/>
      <c r="T28" s="112"/>
      <c r="U28" s="113"/>
      <c r="V28" s="139"/>
      <c r="W28" s="116"/>
      <c r="X28" s="905"/>
      <c r="Y28" s="113"/>
      <c r="Z28" s="908"/>
      <c r="AA28" s="117"/>
      <c r="AB28" s="905"/>
      <c r="AC28" s="113"/>
      <c r="AD28" s="905">
        <v>-484</v>
      </c>
      <c r="AE28" s="113">
        <v>-3521</v>
      </c>
      <c r="AF28" s="905"/>
      <c r="AG28" s="113"/>
      <c r="AH28" s="905"/>
      <c r="AI28" s="113"/>
      <c r="AJ28" s="905"/>
      <c r="AK28" s="113"/>
      <c r="AL28" s="905"/>
      <c r="AM28" s="1140"/>
      <c r="AN28" s="881"/>
      <c r="AO28" s="235"/>
      <c r="AP28" s="916"/>
      <c r="AQ28" s="918"/>
      <c r="AR28" s="875"/>
      <c r="AS28" s="131"/>
      <c r="AT28" s="139"/>
      <c r="AU28" s="116"/>
      <c r="AV28" s="142">
        <f>SUM(B28+D28+F28+H28+J28+L28+N28+P28+R28+T28+V28+X28+Z28+AB28+AD28+AF28+AH28+AJ28+AL28+AN28+AP28+AR28+AT28)</f>
        <v>-12912</v>
      </c>
      <c r="AW28" s="143">
        <f>SUM(C28+E28+G28+I28+K28+M28+O28+Q28+S28+U28+W28+Y28+AA28+AC28+AE28+AG28+AI28+AK28+AM28+AO28+AQ28+AS28+AU28)</f>
        <v>-41550</v>
      </c>
      <c r="AX28" s="875"/>
      <c r="AY28" s="131"/>
      <c r="AZ28" s="142">
        <f>AV28+AX28</f>
        <v>-12912</v>
      </c>
      <c r="BA28" s="143">
        <f>AW28+AY28</f>
        <v>-41550</v>
      </c>
    </row>
    <row r="29" spans="1:53" s="109" customFormat="1" ht="14.25">
      <c r="A29" s="493" t="s">
        <v>52</v>
      </c>
      <c r="B29" s="899"/>
      <c r="C29" s="145"/>
      <c r="D29" s="123"/>
      <c r="E29" s="136"/>
      <c r="F29" s="135"/>
      <c r="G29" s="136"/>
      <c r="H29" s="135"/>
      <c r="I29" s="136"/>
      <c r="J29" s="142"/>
      <c r="K29" s="136"/>
      <c r="L29" s="142"/>
      <c r="M29" s="136"/>
      <c r="N29" s="135"/>
      <c r="O29" s="136"/>
      <c r="P29" s="123"/>
      <c r="Q29" s="146"/>
      <c r="R29" s="123"/>
      <c r="S29" s="146"/>
      <c r="T29" s="123"/>
      <c r="U29" s="146"/>
      <c r="V29" s="142"/>
      <c r="W29" s="136"/>
      <c r="X29" s="906"/>
      <c r="Y29" s="146"/>
      <c r="Z29" s="908"/>
      <c r="AA29" s="117"/>
      <c r="AB29" s="906"/>
      <c r="AC29" s="146"/>
      <c r="AD29" s="911"/>
      <c r="AE29" s="912"/>
      <c r="AF29" s="906"/>
      <c r="AG29" s="146"/>
      <c r="AH29" s="906"/>
      <c r="AI29" s="146"/>
      <c r="AJ29" s="906"/>
      <c r="AK29" s="146"/>
      <c r="AL29" s="905"/>
      <c r="AM29" s="1140"/>
      <c r="AN29" s="114"/>
      <c r="AO29" s="116"/>
      <c r="AP29" s="916"/>
      <c r="AQ29" s="918"/>
      <c r="AR29" s="875"/>
      <c r="AS29" s="131"/>
      <c r="AT29" s="142"/>
      <c r="AU29" s="136"/>
      <c r="AV29" s="142"/>
      <c r="AW29" s="143"/>
      <c r="AX29" s="142"/>
      <c r="AY29" s="136"/>
      <c r="AZ29" s="142"/>
      <c r="BA29" s="143"/>
    </row>
    <row r="30" spans="1:53" s="109" customFormat="1" ht="14.25">
      <c r="A30" s="493" t="s">
        <v>31</v>
      </c>
      <c r="B30" s="898"/>
      <c r="C30" s="110"/>
      <c r="D30" s="112"/>
      <c r="E30" s="116"/>
      <c r="F30" s="115"/>
      <c r="G30" s="116"/>
      <c r="H30" s="115"/>
      <c r="I30" s="116"/>
      <c r="J30" s="139"/>
      <c r="K30" s="116"/>
      <c r="L30" s="139"/>
      <c r="M30" s="116"/>
      <c r="N30" s="115"/>
      <c r="O30" s="116"/>
      <c r="P30" s="112"/>
      <c r="Q30" s="113"/>
      <c r="R30" s="112"/>
      <c r="S30" s="113"/>
      <c r="T30" s="112"/>
      <c r="U30" s="113"/>
      <c r="V30" s="139"/>
      <c r="W30" s="116"/>
      <c r="X30" s="905"/>
      <c r="Y30" s="113"/>
      <c r="Z30" s="908"/>
      <c r="AA30" s="117"/>
      <c r="AB30" s="905"/>
      <c r="AC30" s="113"/>
      <c r="AD30" s="905"/>
      <c r="AE30" s="113"/>
      <c r="AF30" s="905"/>
      <c r="AG30" s="113"/>
      <c r="AH30" s="905"/>
      <c r="AI30" s="113"/>
      <c r="AJ30" s="905"/>
      <c r="AK30" s="113"/>
      <c r="AL30" s="905"/>
      <c r="AM30" s="1140"/>
      <c r="AN30" s="114"/>
      <c r="AO30" s="116"/>
      <c r="AP30" s="916"/>
      <c r="AQ30" s="918"/>
      <c r="AR30" s="875"/>
      <c r="AS30" s="131"/>
      <c r="AT30" s="139"/>
      <c r="AU30" s="116"/>
      <c r="AV30" s="142">
        <f>SUM(B30+D30+F30+H30+J30+L30+N30+P30+R30+T30+V30+X30+Z30+AB30+AD30+AF30+AH30+AJ30+AL30+AN30+AP30+AR30+AT30)</f>
        <v>0</v>
      </c>
      <c r="AW30" s="143">
        <f>SUM(C30+E30+G30+I30+K30+M30+O30+Q30+S30+U30+W30+Y30+AA30+AC30+AE30+AG30+AI30+AK30+AM30+AO30+AQ30+AS30+AU30)</f>
        <v>0</v>
      </c>
      <c r="AX30" s="875"/>
      <c r="AY30" s="131"/>
      <c r="AZ30" s="142">
        <f>AV30+AX30</f>
        <v>0</v>
      </c>
      <c r="BA30" s="143">
        <f>AW30+AY30</f>
        <v>0</v>
      </c>
    </row>
    <row r="31" spans="1:53" s="109" customFormat="1" ht="14.25">
      <c r="A31" s="493" t="s">
        <v>32</v>
      </c>
      <c r="B31" s="898"/>
      <c r="C31" s="110"/>
      <c r="D31" s="112"/>
      <c r="E31" s="116"/>
      <c r="F31" s="115"/>
      <c r="G31" s="116"/>
      <c r="H31" s="115"/>
      <c r="I31" s="116"/>
      <c r="J31" s="139"/>
      <c r="K31" s="116"/>
      <c r="L31" s="139"/>
      <c r="M31" s="116"/>
      <c r="N31" s="115"/>
      <c r="O31" s="116"/>
      <c r="P31" s="112"/>
      <c r="Q31" s="113"/>
      <c r="R31" s="112"/>
      <c r="S31" s="113"/>
      <c r="T31" s="112"/>
      <c r="U31" s="113"/>
      <c r="V31" s="139"/>
      <c r="W31" s="116"/>
      <c r="X31" s="905"/>
      <c r="Y31" s="113"/>
      <c r="Z31" s="908"/>
      <c r="AA31" s="117"/>
      <c r="AB31" s="905"/>
      <c r="AC31" s="113"/>
      <c r="AD31" s="905"/>
      <c r="AE31" s="113"/>
      <c r="AF31" s="905"/>
      <c r="AG31" s="113"/>
      <c r="AH31" s="905"/>
      <c r="AI31" s="113"/>
      <c r="AJ31" s="905"/>
      <c r="AK31" s="113"/>
      <c r="AL31" s="905"/>
      <c r="AM31" s="1140"/>
      <c r="AN31" s="114"/>
      <c r="AO31" s="116"/>
      <c r="AP31" s="916"/>
      <c r="AQ31" s="918"/>
      <c r="AR31" s="875"/>
      <c r="AS31" s="131"/>
      <c r="AT31" s="139"/>
      <c r="AU31" s="116"/>
      <c r="AV31" s="142"/>
      <c r="AW31" s="143"/>
      <c r="AX31" s="875"/>
      <c r="AY31" s="131"/>
      <c r="AZ31" s="142"/>
      <c r="BA31" s="143"/>
    </row>
    <row r="32" spans="1:53" s="109" customFormat="1" ht="14.25">
      <c r="A32" s="493" t="s">
        <v>49</v>
      </c>
      <c r="B32" s="898"/>
      <c r="C32" s="110"/>
      <c r="D32" s="112"/>
      <c r="E32" s="116"/>
      <c r="F32" s="115"/>
      <c r="G32" s="116"/>
      <c r="H32" s="115"/>
      <c r="I32" s="116"/>
      <c r="J32" s="139"/>
      <c r="K32" s="116"/>
      <c r="L32" s="139"/>
      <c r="M32" s="116"/>
      <c r="N32" s="115"/>
      <c r="O32" s="116"/>
      <c r="P32" s="112"/>
      <c r="Q32" s="113"/>
      <c r="R32" s="112"/>
      <c r="S32" s="113"/>
      <c r="T32" s="112"/>
      <c r="U32" s="113"/>
      <c r="V32" s="139"/>
      <c r="W32" s="116"/>
      <c r="X32" s="905"/>
      <c r="Y32" s="113"/>
      <c r="Z32" s="908"/>
      <c r="AA32" s="117"/>
      <c r="AB32" s="905"/>
      <c r="AC32" s="113"/>
      <c r="AD32" s="905"/>
      <c r="AE32" s="113"/>
      <c r="AF32" s="905"/>
      <c r="AG32" s="113"/>
      <c r="AH32" s="905"/>
      <c r="AI32" s="113"/>
      <c r="AJ32" s="905"/>
      <c r="AK32" s="113"/>
      <c r="AL32" s="905"/>
      <c r="AM32" s="1140"/>
      <c r="AN32" s="114"/>
      <c r="AO32" s="116"/>
      <c r="AP32" s="916"/>
      <c r="AQ32" s="918"/>
      <c r="AR32" s="875"/>
      <c r="AS32" s="131"/>
      <c r="AT32" s="139"/>
      <c r="AU32" s="116"/>
      <c r="AV32" s="142"/>
      <c r="AW32" s="143"/>
      <c r="AX32" s="875"/>
      <c r="AY32" s="131"/>
      <c r="AZ32" s="142"/>
      <c r="BA32" s="143"/>
    </row>
    <row r="33" spans="1:53" s="109" customFormat="1" ht="15" thickBot="1">
      <c r="A33" s="896" t="s">
        <v>53</v>
      </c>
      <c r="B33" s="900"/>
      <c r="C33" s="147"/>
      <c r="D33" s="148"/>
      <c r="E33" s="149"/>
      <c r="F33" s="151"/>
      <c r="G33" s="149"/>
      <c r="H33" s="151"/>
      <c r="I33" s="149"/>
      <c r="J33" s="150"/>
      <c r="K33" s="149"/>
      <c r="L33" s="150"/>
      <c r="M33" s="149"/>
      <c r="N33" s="151"/>
      <c r="O33" s="149"/>
      <c r="P33" s="148"/>
      <c r="Q33" s="152"/>
      <c r="R33" s="148"/>
      <c r="S33" s="152"/>
      <c r="T33" s="148"/>
      <c r="U33" s="152"/>
      <c r="V33" s="150"/>
      <c r="W33" s="149"/>
      <c r="X33" s="907"/>
      <c r="Y33" s="152"/>
      <c r="Z33" s="909"/>
      <c r="AA33" s="910"/>
      <c r="AB33" s="907"/>
      <c r="AC33" s="152"/>
      <c r="AD33" s="907"/>
      <c r="AE33" s="152"/>
      <c r="AF33" s="907"/>
      <c r="AG33" s="152"/>
      <c r="AH33" s="907"/>
      <c r="AI33" s="152"/>
      <c r="AJ33" s="907"/>
      <c r="AK33" s="152"/>
      <c r="AL33" s="907"/>
      <c r="AM33" s="1171"/>
      <c r="AN33" s="1269"/>
      <c r="AO33" s="236"/>
      <c r="AP33" s="917"/>
      <c r="AQ33" s="919"/>
      <c r="AR33" s="876"/>
      <c r="AS33" s="438"/>
      <c r="AT33" s="150"/>
      <c r="AU33" s="149"/>
      <c r="AV33" s="158"/>
      <c r="AW33" s="159"/>
      <c r="AX33" s="876"/>
      <c r="AY33" s="438">
        <v>-4658</v>
      </c>
      <c r="AZ33" s="158"/>
      <c r="BA33" s="159"/>
    </row>
    <row r="34" spans="1:53" s="578" customFormat="1" ht="15" thickBot="1">
      <c r="A34" s="614" t="s">
        <v>54</v>
      </c>
      <c r="B34" s="901">
        <f aca="true" t="shared" si="7" ref="B34:AE34">SUM(B6:B33)</f>
        <v>47845304</v>
      </c>
      <c r="C34" s="617">
        <f t="shared" si="7"/>
        <v>55460877</v>
      </c>
      <c r="D34" s="611">
        <f t="shared" si="7"/>
        <v>3096254</v>
      </c>
      <c r="E34" s="612">
        <f t="shared" si="7"/>
        <v>2802800</v>
      </c>
      <c r="F34" s="576">
        <f t="shared" si="7"/>
        <v>9933156</v>
      </c>
      <c r="G34" s="608">
        <f t="shared" si="7"/>
        <v>10903826</v>
      </c>
      <c r="H34" s="554">
        <f t="shared" si="7"/>
        <v>61082510</v>
      </c>
      <c r="I34" s="556">
        <f t="shared" si="7"/>
        <v>67140658</v>
      </c>
      <c r="J34" s="557">
        <f t="shared" si="7"/>
        <v>5506434</v>
      </c>
      <c r="K34" s="608">
        <f t="shared" si="7"/>
        <v>3794327</v>
      </c>
      <c r="L34" s="557">
        <f t="shared" si="7"/>
        <v>20536662</v>
      </c>
      <c r="M34" s="556">
        <f t="shared" si="7"/>
        <v>17226978</v>
      </c>
      <c r="N34" s="554">
        <f t="shared" si="7"/>
        <v>3856288</v>
      </c>
      <c r="O34" s="556">
        <f t="shared" si="7"/>
        <v>3937393</v>
      </c>
      <c r="P34" s="554">
        <f t="shared" si="7"/>
        <v>1645883</v>
      </c>
      <c r="Q34" s="556">
        <f t="shared" si="7"/>
        <v>880132</v>
      </c>
      <c r="R34" s="554">
        <f t="shared" si="7"/>
        <v>17210437</v>
      </c>
      <c r="S34" s="556">
        <f t="shared" si="7"/>
        <v>14618979</v>
      </c>
      <c r="T34" s="554">
        <f t="shared" si="7"/>
        <v>5019203</v>
      </c>
      <c r="U34" s="556">
        <f t="shared" si="7"/>
        <v>4545175</v>
      </c>
      <c r="V34" s="557">
        <f t="shared" si="7"/>
        <v>217806713</v>
      </c>
      <c r="W34" s="556">
        <f t="shared" si="7"/>
        <v>181730378</v>
      </c>
      <c r="X34" s="557">
        <f t="shared" si="7"/>
        <v>225246623</v>
      </c>
      <c r="Y34" s="556">
        <f t="shared" si="7"/>
        <v>193026449</v>
      </c>
      <c r="Z34" s="557">
        <f t="shared" si="7"/>
        <v>9516424</v>
      </c>
      <c r="AA34" s="556">
        <f t="shared" si="7"/>
        <v>6973089</v>
      </c>
      <c r="AB34" s="557">
        <f t="shared" si="7"/>
        <v>33270921.99</v>
      </c>
      <c r="AC34" s="556">
        <f t="shared" si="7"/>
        <v>30939098.099999998</v>
      </c>
      <c r="AD34" s="557">
        <f t="shared" si="7"/>
        <v>40999014</v>
      </c>
      <c r="AE34" s="556">
        <f t="shared" si="7"/>
        <v>35722280</v>
      </c>
      <c r="AF34" s="557">
        <f aca="true" t="shared" si="8" ref="AF34:AU34">SUM(AF6:AF33)</f>
        <v>69982213</v>
      </c>
      <c r="AG34" s="608">
        <f t="shared" si="8"/>
        <v>66205121</v>
      </c>
      <c r="AH34" s="557">
        <f t="shared" si="8"/>
        <v>0</v>
      </c>
      <c r="AI34" s="556">
        <f t="shared" si="8"/>
        <v>23350769</v>
      </c>
      <c r="AJ34" s="557">
        <f t="shared" si="8"/>
        <v>27767516</v>
      </c>
      <c r="AK34" s="556">
        <f t="shared" si="8"/>
        <v>30837293</v>
      </c>
      <c r="AL34" s="914">
        <f t="shared" si="8"/>
        <v>0</v>
      </c>
      <c r="AM34" s="556">
        <f t="shared" si="8"/>
        <v>0</v>
      </c>
      <c r="AN34" s="1267">
        <f t="shared" si="8"/>
        <v>214928755</v>
      </c>
      <c r="AO34" s="1268">
        <f t="shared" si="8"/>
        <v>161753462</v>
      </c>
      <c r="AP34" s="914">
        <f t="shared" si="8"/>
        <v>5587079</v>
      </c>
      <c r="AQ34" s="556">
        <f t="shared" si="8"/>
        <v>4954139</v>
      </c>
      <c r="AR34" s="914">
        <f t="shared" si="8"/>
        <v>11370033</v>
      </c>
      <c r="AS34" s="556">
        <f t="shared" si="8"/>
        <v>10349631</v>
      </c>
      <c r="AT34" s="914">
        <f t="shared" si="8"/>
        <v>27765127</v>
      </c>
      <c r="AU34" s="556">
        <f t="shared" si="8"/>
        <v>23674644</v>
      </c>
      <c r="AV34" s="560">
        <f>SUM(B34+D34+F34+H34+J34+L34+N34+P34+R34+T34+V34+X34+Z34+AB34+AD34+AF34+AH34+AJ34+AL34+AN34+AP34+AR34+AT34)</f>
        <v>1059972549.99</v>
      </c>
      <c r="AW34" s="577">
        <f>SUM(C34+E34+G34+I34+K34+M34+O34+Q34+S34+U34+W34+Y34+AA34+AC34+AE34+AG34+AI34+AK34+AM34+AO34+AQ34+AS34+AU34)</f>
        <v>950827498.1</v>
      </c>
      <c r="AX34" s="920">
        <f>SUM(AX6:AX33)</f>
        <v>2846547332</v>
      </c>
      <c r="AY34" s="605">
        <f>SUM(AY6:AY33)</f>
        <v>2525488945</v>
      </c>
      <c r="AZ34" s="560">
        <f>AV34+AX34</f>
        <v>3906519881.99</v>
      </c>
      <c r="BA34" s="577">
        <f>AW34+AY34</f>
        <v>3476316443.1</v>
      </c>
    </row>
    <row r="35" spans="1:53" s="109" customFormat="1" ht="15" thickBot="1">
      <c r="A35" s="615" t="s">
        <v>55</v>
      </c>
      <c r="B35" s="902"/>
      <c r="C35" s="618"/>
      <c r="D35" s="613"/>
      <c r="E35" s="606"/>
      <c r="F35" s="609"/>
      <c r="G35" s="610"/>
      <c r="H35" s="163"/>
      <c r="I35" s="162"/>
      <c r="J35" s="903"/>
      <c r="K35" s="610"/>
      <c r="L35" s="163"/>
      <c r="M35" s="162"/>
      <c r="N35" s="163"/>
      <c r="O35" s="162"/>
      <c r="P35" s="160"/>
      <c r="Q35" s="161"/>
      <c r="R35" s="160"/>
      <c r="S35" s="161"/>
      <c r="T35" s="160"/>
      <c r="U35" s="161"/>
      <c r="V35" s="163"/>
      <c r="W35" s="162"/>
      <c r="X35" s="160"/>
      <c r="Y35" s="161"/>
      <c r="Z35" s="160"/>
      <c r="AA35" s="161"/>
      <c r="AB35" s="160"/>
      <c r="AC35" s="161"/>
      <c r="AD35" s="160"/>
      <c r="AE35" s="161"/>
      <c r="AF35" s="160"/>
      <c r="AG35" s="161"/>
      <c r="AH35" s="160"/>
      <c r="AI35" s="161"/>
      <c r="AJ35" s="160"/>
      <c r="AK35" s="161"/>
      <c r="AL35" s="915"/>
      <c r="AM35" s="237"/>
      <c r="AN35" s="163"/>
      <c r="AO35" s="162"/>
      <c r="AP35" s="163"/>
      <c r="AQ35" s="162"/>
      <c r="AR35" s="163"/>
      <c r="AS35" s="162"/>
      <c r="AT35" s="163"/>
      <c r="AU35" s="162"/>
      <c r="AV35" s="164"/>
      <c r="AW35" s="165"/>
      <c r="AX35" s="921"/>
      <c r="AY35" s="607"/>
      <c r="AZ35" s="164"/>
      <c r="BA35" s="165"/>
    </row>
    <row r="36" spans="1:53" s="1481" customFormat="1" ht="15" thickBot="1">
      <c r="A36" s="1482" t="s">
        <v>56</v>
      </c>
      <c r="B36" s="1485">
        <f aca="true" t="shared" si="9" ref="B36:AG36">B34</f>
        <v>47845304</v>
      </c>
      <c r="C36" s="1486">
        <f t="shared" si="9"/>
        <v>55460877</v>
      </c>
      <c r="D36" s="1487">
        <f t="shared" si="9"/>
        <v>3096254</v>
      </c>
      <c r="E36" s="1488">
        <f t="shared" si="9"/>
        <v>2802800</v>
      </c>
      <c r="F36" s="1474">
        <f t="shared" si="9"/>
        <v>9933156</v>
      </c>
      <c r="G36" s="1475">
        <f t="shared" si="9"/>
        <v>10903826</v>
      </c>
      <c r="H36" s="1489">
        <f t="shared" si="9"/>
        <v>61082510</v>
      </c>
      <c r="I36" s="1484">
        <f t="shared" si="9"/>
        <v>67140658</v>
      </c>
      <c r="J36" s="1468">
        <f t="shared" si="9"/>
        <v>5506434</v>
      </c>
      <c r="K36" s="1475">
        <f t="shared" si="9"/>
        <v>3794327</v>
      </c>
      <c r="L36" s="1489">
        <f t="shared" si="9"/>
        <v>20536662</v>
      </c>
      <c r="M36" s="1484">
        <f t="shared" si="9"/>
        <v>17226978</v>
      </c>
      <c r="N36" s="1489">
        <f t="shared" si="9"/>
        <v>3856288</v>
      </c>
      <c r="O36" s="1484">
        <f t="shared" si="9"/>
        <v>3937393</v>
      </c>
      <c r="P36" s="1489">
        <f t="shared" si="9"/>
        <v>1645883</v>
      </c>
      <c r="Q36" s="1484">
        <f t="shared" si="9"/>
        <v>880132</v>
      </c>
      <c r="R36" s="1489">
        <f t="shared" si="9"/>
        <v>17210437</v>
      </c>
      <c r="S36" s="1484">
        <f t="shared" si="9"/>
        <v>14618979</v>
      </c>
      <c r="T36" s="1489">
        <f t="shared" si="9"/>
        <v>5019203</v>
      </c>
      <c r="U36" s="1484">
        <f t="shared" si="9"/>
        <v>4545175</v>
      </c>
      <c r="V36" s="1489">
        <f t="shared" si="9"/>
        <v>217806713</v>
      </c>
      <c r="W36" s="1484">
        <f t="shared" si="9"/>
        <v>181730378</v>
      </c>
      <c r="X36" s="1489">
        <v>234806657</v>
      </c>
      <c r="Y36" s="1484">
        <v>198637536</v>
      </c>
      <c r="Z36" s="1489">
        <f t="shared" si="9"/>
        <v>9516424</v>
      </c>
      <c r="AA36" s="1484">
        <f t="shared" si="9"/>
        <v>6973089</v>
      </c>
      <c r="AB36" s="1489">
        <f t="shared" si="9"/>
        <v>33270921.99</v>
      </c>
      <c r="AC36" s="1484">
        <f t="shared" si="9"/>
        <v>30939098.099999998</v>
      </c>
      <c r="AD36" s="1489">
        <f t="shared" si="9"/>
        <v>40999014</v>
      </c>
      <c r="AE36" s="1484">
        <f t="shared" si="9"/>
        <v>35722280</v>
      </c>
      <c r="AF36" s="1489">
        <f t="shared" si="9"/>
        <v>69982213</v>
      </c>
      <c r="AG36" s="1484">
        <f t="shared" si="9"/>
        <v>66205121</v>
      </c>
      <c r="AH36" s="1489">
        <f>AH34</f>
        <v>0</v>
      </c>
      <c r="AI36" s="1484">
        <f>AI34</f>
        <v>23350769</v>
      </c>
      <c r="AJ36" s="1490">
        <f>AJ34</f>
        <v>27767516</v>
      </c>
      <c r="AK36" s="1491">
        <f>AK34</f>
        <v>30837293</v>
      </c>
      <c r="AL36" s="1492"/>
      <c r="AM36" s="1493"/>
      <c r="AN36" s="1489">
        <f aca="true" t="shared" si="10" ref="AN36:AU36">AN34</f>
        <v>214928755</v>
      </c>
      <c r="AO36" s="1484">
        <f t="shared" si="10"/>
        <v>161753462</v>
      </c>
      <c r="AP36" s="1489">
        <f t="shared" si="10"/>
        <v>5587079</v>
      </c>
      <c r="AQ36" s="1484">
        <f t="shared" si="10"/>
        <v>4954139</v>
      </c>
      <c r="AR36" s="1489">
        <f t="shared" si="10"/>
        <v>11370033</v>
      </c>
      <c r="AS36" s="1484">
        <f t="shared" si="10"/>
        <v>10349631</v>
      </c>
      <c r="AT36" s="1489">
        <f t="shared" si="10"/>
        <v>27765127</v>
      </c>
      <c r="AU36" s="1484">
        <f t="shared" si="10"/>
        <v>23674644</v>
      </c>
      <c r="AV36" s="1483">
        <f>SUM(B36+D36+F36+H36+J36+L36+N36+P36+R36+T36+V36+X36+Z36+AB36+AD36+AF36+AH36+AJ36+AL36+AN36+AP36+AR36+AT36)</f>
        <v>1069532583.99</v>
      </c>
      <c r="AW36" s="1484">
        <f>SUM(C36+E36+G36+I36+K36+M36+O36+Q36+S36+U36+W36+Y36+AA36+AC36+AE36+AG36+AI36+AK36+AM36+AO36+AQ36+AS36+AU36)</f>
        <v>956438585.1</v>
      </c>
      <c r="AX36" s="1494">
        <f>AX34</f>
        <v>2846547332</v>
      </c>
      <c r="AY36" s="1495">
        <f>AY34</f>
        <v>2525488945</v>
      </c>
      <c r="AZ36" s="1483">
        <f>AV36+AX36</f>
        <v>3916079915.99</v>
      </c>
      <c r="BA36" s="1484">
        <f>AW36+AY36</f>
        <v>3481927530.1</v>
      </c>
    </row>
    <row r="37" spans="1:53" s="109" customFormat="1" ht="15" thickBot="1">
      <c r="A37" s="616" t="s">
        <v>57</v>
      </c>
      <c r="B37" s="902"/>
      <c r="C37" s="618"/>
      <c r="D37" s="613"/>
      <c r="E37" s="606"/>
      <c r="F37" s="609"/>
      <c r="G37" s="610"/>
      <c r="H37" s="126"/>
      <c r="I37" s="127"/>
      <c r="J37" s="903"/>
      <c r="K37" s="610"/>
      <c r="L37" s="126"/>
      <c r="M37" s="127"/>
      <c r="N37" s="126"/>
      <c r="O37" s="127"/>
      <c r="P37" s="144"/>
      <c r="Q37" s="166"/>
      <c r="R37" s="144"/>
      <c r="S37" s="166"/>
      <c r="T37" s="144"/>
      <c r="U37" s="166"/>
      <c r="V37" s="126"/>
      <c r="W37" s="127"/>
      <c r="X37" s="144"/>
      <c r="Y37" s="166"/>
      <c r="Z37" s="144"/>
      <c r="AA37" s="166"/>
      <c r="AB37" s="144"/>
      <c r="AC37" s="166"/>
      <c r="AD37" s="144"/>
      <c r="AE37" s="166"/>
      <c r="AF37" s="144"/>
      <c r="AG37" s="166"/>
      <c r="AH37" s="144"/>
      <c r="AI37" s="166"/>
      <c r="AJ37" s="913"/>
      <c r="AK37" s="277"/>
      <c r="AL37" s="434"/>
      <c r="AM37" s="435"/>
      <c r="AN37" s="126"/>
      <c r="AO37" s="127"/>
      <c r="AP37" s="126"/>
      <c r="AQ37" s="127"/>
      <c r="AR37" s="126"/>
      <c r="AS37" s="127"/>
      <c r="AT37" s="126"/>
      <c r="AU37" s="127"/>
      <c r="AV37" s="436"/>
      <c r="AW37" s="437"/>
      <c r="AX37" s="921"/>
      <c r="AY37" s="607"/>
      <c r="AZ37" s="436"/>
      <c r="BA37" s="437"/>
    </row>
    <row r="38" spans="1:53" s="1481" customFormat="1" ht="15" thickBot="1">
      <c r="A38" s="1467" t="s">
        <v>54</v>
      </c>
      <c r="B38" s="1470">
        <f aca="true" t="shared" si="11" ref="B38:AG38">B36</f>
        <v>47845304</v>
      </c>
      <c r="C38" s="1471">
        <f t="shared" si="11"/>
        <v>55460877</v>
      </c>
      <c r="D38" s="1472">
        <f t="shared" si="11"/>
        <v>3096254</v>
      </c>
      <c r="E38" s="1473">
        <f t="shared" si="11"/>
        <v>2802800</v>
      </c>
      <c r="F38" s="1474">
        <f t="shared" si="11"/>
        <v>9933156</v>
      </c>
      <c r="G38" s="1475">
        <f t="shared" si="11"/>
        <v>10903826</v>
      </c>
      <c r="H38" s="1476">
        <f t="shared" si="11"/>
        <v>61082510</v>
      </c>
      <c r="I38" s="1469">
        <f t="shared" si="11"/>
        <v>67140658</v>
      </c>
      <c r="J38" s="1468">
        <f t="shared" si="11"/>
        <v>5506434</v>
      </c>
      <c r="K38" s="1475">
        <f t="shared" si="11"/>
        <v>3794327</v>
      </c>
      <c r="L38" s="1476">
        <f t="shared" si="11"/>
        <v>20536662</v>
      </c>
      <c r="M38" s="1469">
        <f t="shared" si="11"/>
        <v>17226978</v>
      </c>
      <c r="N38" s="1476">
        <f t="shared" si="11"/>
        <v>3856288</v>
      </c>
      <c r="O38" s="1469">
        <f t="shared" si="11"/>
        <v>3937393</v>
      </c>
      <c r="P38" s="1477">
        <f t="shared" si="11"/>
        <v>1645883</v>
      </c>
      <c r="Q38" s="1478">
        <f t="shared" si="11"/>
        <v>880132</v>
      </c>
      <c r="R38" s="1477">
        <f t="shared" si="11"/>
        <v>17210437</v>
      </c>
      <c r="S38" s="1478">
        <f t="shared" si="11"/>
        <v>14618979</v>
      </c>
      <c r="T38" s="1477">
        <f t="shared" si="11"/>
        <v>5019203</v>
      </c>
      <c r="U38" s="1478">
        <f t="shared" si="11"/>
        <v>4545175</v>
      </c>
      <c r="V38" s="1476">
        <f t="shared" si="11"/>
        <v>217806713</v>
      </c>
      <c r="W38" s="1469">
        <f t="shared" si="11"/>
        <v>181730378</v>
      </c>
      <c r="X38" s="1477">
        <f t="shared" si="11"/>
        <v>234806657</v>
      </c>
      <c r="Y38" s="1478">
        <f t="shared" si="11"/>
        <v>198637536</v>
      </c>
      <c r="Z38" s="1477">
        <f t="shared" si="11"/>
        <v>9516424</v>
      </c>
      <c r="AA38" s="1478">
        <f t="shared" si="11"/>
        <v>6973089</v>
      </c>
      <c r="AB38" s="1477">
        <f t="shared" si="11"/>
        <v>33270921.99</v>
      </c>
      <c r="AC38" s="1478">
        <f t="shared" si="11"/>
        <v>30939098.099999998</v>
      </c>
      <c r="AD38" s="1477">
        <f t="shared" si="11"/>
        <v>40999014</v>
      </c>
      <c r="AE38" s="1478">
        <f t="shared" si="11"/>
        <v>35722280</v>
      </c>
      <c r="AF38" s="1477">
        <f t="shared" si="11"/>
        <v>69982213</v>
      </c>
      <c r="AG38" s="1478">
        <f t="shared" si="11"/>
        <v>66205121</v>
      </c>
      <c r="AH38" s="1477">
        <f aca="true" t="shared" si="12" ref="AH38:AU38">AH36</f>
        <v>0</v>
      </c>
      <c r="AI38" s="1478">
        <f t="shared" si="12"/>
        <v>23350769</v>
      </c>
      <c r="AJ38" s="1479">
        <f t="shared" si="12"/>
        <v>27767516</v>
      </c>
      <c r="AK38" s="1480">
        <f t="shared" si="12"/>
        <v>30837293</v>
      </c>
      <c r="AL38" s="1479">
        <f t="shared" si="12"/>
        <v>0</v>
      </c>
      <c r="AM38" s="1480">
        <f t="shared" si="12"/>
        <v>0</v>
      </c>
      <c r="AN38" s="1476">
        <f t="shared" si="12"/>
        <v>214928755</v>
      </c>
      <c r="AO38" s="1469">
        <f t="shared" si="12"/>
        <v>161753462</v>
      </c>
      <c r="AP38" s="1476">
        <f t="shared" si="12"/>
        <v>5587079</v>
      </c>
      <c r="AQ38" s="1469">
        <f t="shared" si="12"/>
        <v>4954139</v>
      </c>
      <c r="AR38" s="1476">
        <f t="shared" si="12"/>
        <v>11370033</v>
      </c>
      <c r="AS38" s="1469">
        <f t="shared" si="12"/>
        <v>10349631</v>
      </c>
      <c r="AT38" s="1476">
        <f t="shared" si="12"/>
        <v>27765127</v>
      </c>
      <c r="AU38" s="1469">
        <f t="shared" si="12"/>
        <v>23674644</v>
      </c>
      <c r="AV38" s="1468">
        <f>SUM(B38+D38+F38+H38+J38+L38+N38+P38+R38+T38+V38+X38+Z38+AB38+AD38+AF38+AH38+AJ38+AL38+AN38+AP38+AR38+AT38)</f>
        <v>1069532583.99</v>
      </c>
      <c r="AW38" s="1469">
        <f>SUM(C38+E38+G38+I38+K38+M38+O38+Q38+S38+U38+W38+Y38+AA38+AC38+AE38+AG38+AI38+AK38+AM38+AO38+AQ38+AS38+AU38)</f>
        <v>956438585.1</v>
      </c>
      <c r="AX38" s="1468">
        <f>AX36</f>
        <v>2846547332</v>
      </c>
      <c r="AY38" s="1475">
        <f>AY36</f>
        <v>2525488945</v>
      </c>
      <c r="AZ38" s="1468">
        <f>AV38+AX38</f>
        <v>3916079915.99</v>
      </c>
      <c r="BA38" s="1469">
        <f>AW38+AY38</f>
        <v>3481927530.1</v>
      </c>
    </row>
    <row r="39" spans="1:53" s="109" customFormat="1" ht="14.25">
      <c r="A39" s="95"/>
      <c r="E39" s="167"/>
      <c r="V39" s="167"/>
      <c r="W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</row>
  </sheetData>
  <sheetProtection/>
  <mergeCells count="29">
    <mergeCell ref="H3:I3"/>
    <mergeCell ref="J3:K3"/>
    <mergeCell ref="R3:S3"/>
    <mergeCell ref="P3:Q3"/>
    <mergeCell ref="AL3:AM3"/>
    <mergeCell ref="L3:M3"/>
    <mergeCell ref="AB3:AC3"/>
    <mergeCell ref="X3:Y3"/>
    <mergeCell ref="T3:U3"/>
    <mergeCell ref="AN3:AO3"/>
    <mergeCell ref="AP3:AQ3"/>
    <mergeCell ref="N3:O3"/>
    <mergeCell ref="AZ3:BA3"/>
    <mergeCell ref="AX3:AY3"/>
    <mergeCell ref="AV3:AW3"/>
    <mergeCell ref="AT3:AU3"/>
    <mergeCell ref="AR3:AS3"/>
    <mergeCell ref="AF3:AG3"/>
    <mergeCell ref="AD3:AE3"/>
    <mergeCell ref="A1:AY1"/>
    <mergeCell ref="A2:AY2"/>
    <mergeCell ref="A3:A4"/>
    <mergeCell ref="Z3:AA3"/>
    <mergeCell ref="V3:W3"/>
    <mergeCell ref="F3:G3"/>
    <mergeCell ref="D3:E3"/>
    <mergeCell ref="B3:C3"/>
    <mergeCell ref="AJ3:AK3"/>
    <mergeCell ref="AH3:AI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AA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6" sqref="I6"/>
    </sheetView>
  </sheetViews>
  <sheetFormatPr defaultColWidth="9.140625" defaultRowHeight="15"/>
  <cols>
    <col min="1" max="1" width="55.140625" style="106" customWidth="1"/>
    <col min="2" max="2" width="10.421875" style="106" bestFit="1" customWidth="1"/>
    <col min="3" max="3" width="10.421875" style="106" customWidth="1"/>
    <col min="4" max="4" width="10.7109375" style="106" bestFit="1" customWidth="1"/>
    <col min="5" max="5" width="11.57421875" style="106" bestFit="1" customWidth="1"/>
    <col min="6" max="6" width="10.421875" style="106" bestFit="1" customWidth="1"/>
    <col min="7" max="7" width="11.421875" style="106" bestFit="1" customWidth="1"/>
    <col min="8" max="8" width="10.421875" style="106" bestFit="1" customWidth="1"/>
    <col min="9" max="9" width="11.57421875" style="106" bestFit="1" customWidth="1"/>
    <col min="10" max="11" width="10.421875" style="106" bestFit="1" customWidth="1"/>
    <col min="12" max="13" width="11.57421875" style="106" bestFit="1" customWidth="1"/>
    <col min="14" max="15" width="10.421875" style="106" bestFit="1" customWidth="1"/>
    <col min="16" max="16" width="11.57421875" style="106" bestFit="1" customWidth="1"/>
    <col min="17" max="20" width="10.421875" style="106" bestFit="1" customWidth="1"/>
    <col min="21" max="21" width="11.57421875" style="106" bestFit="1" customWidth="1"/>
    <col min="22" max="24" width="10.421875" style="106" bestFit="1" customWidth="1"/>
    <col min="25" max="25" width="12.8515625" style="106" bestFit="1" customWidth="1"/>
    <col min="26" max="26" width="11.57421875" style="106" bestFit="1" customWidth="1"/>
    <col min="27" max="27" width="12.8515625" style="70" bestFit="1" customWidth="1"/>
    <col min="28" max="16384" width="9.140625" style="106" customWidth="1"/>
  </cols>
  <sheetData>
    <row r="1" spans="1:27" s="491" customFormat="1" ht="17.25" thickBot="1">
      <c r="A1" s="1667" t="s">
        <v>355</v>
      </c>
      <c r="B1" s="1667"/>
      <c r="C1" s="1667"/>
      <c r="D1" s="1667"/>
      <c r="E1" s="1667"/>
      <c r="F1" s="1667"/>
      <c r="G1" s="1667"/>
      <c r="H1" s="1667"/>
      <c r="I1" s="1667"/>
      <c r="J1" s="1667"/>
      <c r="K1" s="1667"/>
      <c r="L1" s="1667"/>
      <c r="M1" s="1667"/>
      <c r="N1" s="1667"/>
      <c r="O1" s="1667"/>
      <c r="P1" s="1667"/>
      <c r="Q1" s="1667"/>
      <c r="R1" s="1667"/>
      <c r="S1" s="1667"/>
      <c r="T1" s="1667"/>
      <c r="U1" s="1667"/>
      <c r="V1" s="1667"/>
      <c r="W1" s="1667"/>
      <c r="X1" s="1667"/>
      <c r="Y1" s="1667"/>
      <c r="Z1" s="1667"/>
      <c r="AA1" s="1667"/>
    </row>
    <row r="2" spans="1:27" ht="112.5" customHeight="1" thickBot="1">
      <c r="A2" s="1666" t="s">
        <v>0</v>
      </c>
      <c r="B2" s="657" t="s">
        <v>163</v>
      </c>
      <c r="C2" s="528" t="s">
        <v>164</v>
      </c>
      <c r="D2" s="528" t="s">
        <v>165</v>
      </c>
      <c r="E2" s="528" t="s">
        <v>166</v>
      </c>
      <c r="F2" s="528" t="s">
        <v>167</v>
      </c>
      <c r="G2" s="528" t="s">
        <v>168</v>
      </c>
      <c r="H2" s="528" t="s">
        <v>446</v>
      </c>
      <c r="I2" s="528" t="s">
        <v>169</v>
      </c>
      <c r="J2" s="528" t="s">
        <v>170</v>
      </c>
      <c r="K2" s="528" t="s">
        <v>171</v>
      </c>
      <c r="L2" s="528" t="s">
        <v>172</v>
      </c>
      <c r="M2" s="528" t="s">
        <v>173</v>
      </c>
      <c r="N2" s="528" t="s">
        <v>526</v>
      </c>
      <c r="O2" s="528" t="s">
        <v>174</v>
      </c>
      <c r="P2" s="528" t="s">
        <v>175</v>
      </c>
      <c r="Q2" s="528" t="s">
        <v>176</v>
      </c>
      <c r="R2" s="528" t="s">
        <v>177</v>
      </c>
      <c r="S2" s="528" t="s">
        <v>178</v>
      </c>
      <c r="T2" s="528" t="s">
        <v>179</v>
      </c>
      <c r="U2" s="528" t="s">
        <v>180</v>
      </c>
      <c r="V2" s="528" t="s">
        <v>181</v>
      </c>
      <c r="W2" s="528" t="s">
        <v>182</v>
      </c>
      <c r="X2" s="528" t="s">
        <v>183</v>
      </c>
      <c r="Y2" s="621" t="s">
        <v>1</v>
      </c>
      <c r="Z2" s="528" t="s">
        <v>184</v>
      </c>
      <c r="AA2" s="815" t="s">
        <v>2</v>
      </c>
    </row>
    <row r="3" spans="1:27" s="531" customFormat="1" ht="36.75" customHeight="1" thickBot="1">
      <c r="A3" s="1666"/>
      <c r="B3" s="620" t="s">
        <v>521</v>
      </c>
      <c r="C3" s="620" t="s">
        <v>521</v>
      </c>
      <c r="D3" s="620" t="s">
        <v>521</v>
      </c>
      <c r="E3" s="620" t="s">
        <v>521</v>
      </c>
      <c r="F3" s="620" t="s">
        <v>521</v>
      </c>
      <c r="G3" s="620" t="s">
        <v>521</v>
      </c>
      <c r="H3" s="620" t="s">
        <v>521</v>
      </c>
      <c r="I3" s="620" t="s">
        <v>521</v>
      </c>
      <c r="J3" s="620" t="s">
        <v>521</v>
      </c>
      <c r="K3" s="620" t="s">
        <v>521</v>
      </c>
      <c r="L3" s="620" t="s">
        <v>521</v>
      </c>
      <c r="M3" s="620" t="s">
        <v>521</v>
      </c>
      <c r="N3" s="620" t="s">
        <v>521</v>
      </c>
      <c r="O3" s="620" t="s">
        <v>521</v>
      </c>
      <c r="P3" s="620" t="s">
        <v>521</v>
      </c>
      <c r="Q3" s="620" t="s">
        <v>521</v>
      </c>
      <c r="R3" s="620" t="s">
        <v>521</v>
      </c>
      <c r="S3" s="620" t="s">
        <v>521</v>
      </c>
      <c r="T3" s="620" t="s">
        <v>521</v>
      </c>
      <c r="U3" s="620" t="s">
        <v>521</v>
      </c>
      <c r="V3" s="620" t="s">
        <v>521</v>
      </c>
      <c r="W3" s="620" t="s">
        <v>521</v>
      </c>
      <c r="X3" s="620" t="s">
        <v>521</v>
      </c>
      <c r="Y3" s="620" t="s">
        <v>521</v>
      </c>
      <c r="Z3" s="620" t="s">
        <v>521</v>
      </c>
      <c r="AA3" s="620" t="s">
        <v>521</v>
      </c>
    </row>
    <row r="4" spans="1:27" ht="18">
      <c r="A4" s="485" t="s">
        <v>342</v>
      </c>
      <c r="B4" s="817"/>
      <c r="C4" s="817"/>
      <c r="D4" s="817" t="s">
        <v>364</v>
      </c>
      <c r="E4" s="817"/>
      <c r="F4" s="817"/>
      <c r="G4" s="817"/>
      <c r="H4" s="817"/>
      <c r="I4" s="817"/>
      <c r="J4" s="1093" t="s">
        <v>364</v>
      </c>
      <c r="K4" s="1094"/>
      <c r="L4" s="816"/>
      <c r="M4" s="817"/>
      <c r="N4" s="817"/>
      <c r="O4" s="817"/>
      <c r="P4" s="817"/>
      <c r="Q4" s="817"/>
      <c r="R4" s="817" t="s">
        <v>364</v>
      </c>
      <c r="S4" s="817"/>
      <c r="T4" s="817"/>
      <c r="U4" s="817"/>
      <c r="V4" s="817"/>
      <c r="W4" s="817"/>
      <c r="X4" s="817"/>
      <c r="Y4" s="816"/>
      <c r="Z4" s="817"/>
      <c r="AA4" s="816"/>
    </row>
    <row r="5" spans="1:27" ht="16.5">
      <c r="A5" s="480" t="s">
        <v>343</v>
      </c>
      <c r="B5" s="812">
        <v>682920</v>
      </c>
      <c r="C5" s="812"/>
      <c r="D5" s="812"/>
      <c r="E5" s="812"/>
      <c r="F5" s="812"/>
      <c r="G5" s="812"/>
      <c r="H5" s="812"/>
      <c r="I5" s="812"/>
      <c r="J5" s="812"/>
      <c r="K5" s="818"/>
      <c r="L5" s="813"/>
      <c r="M5" s="812"/>
      <c r="N5" s="812"/>
      <c r="O5" s="812"/>
      <c r="P5" s="812"/>
      <c r="Q5" s="812">
        <v>258784</v>
      </c>
      <c r="R5" s="812"/>
      <c r="S5" s="812"/>
      <c r="T5" s="812"/>
      <c r="U5" s="812"/>
      <c r="V5" s="812"/>
      <c r="W5" s="812"/>
      <c r="X5" s="812"/>
      <c r="Y5" s="813">
        <f>SUM(B5:X5)</f>
        <v>941704</v>
      </c>
      <c r="Z5" s="812"/>
      <c r="AA5" s="813">
        <f>Y5+Z5</f>
        <v>941704</v>
      </c>
    </row>
    <row r="6" spans="1:27" ht="16.5">
      <c r="A6" s="480" t="s">
        <v>344</v>
      </c>
      <c r="B6" s="812">
        <v>2000028</v>
      </c>
      <c r="C6" s="819">
        <v>8961705</v>
      </c>
      <c r="D6" s="812"/>
      <c r="E6" s="812">
        <v>10599550</v>
      </c>
      <c r="F6" s="812">
        <v>2074442</v>
      </c>
      <c r="G6" s="812">
        <v>1250000</v>
      </c>
      <c r="H6" s="812">
        <v>8329217</v>
      </c>
      <c r="I6" s="812">
        <v>16848478</v>
      </c>
      <c r="J6" s="812"/>
      <c r="K6" s="818">
        <v>999996</v>
      </c>
      <c r="L6" s="813">
        <v>4779720</v>
      </c>
      <c r="M6" s="812">
        <v>34329880</v>
      </c>
      <c r="N6" s="812"/>
      <c r="O6" s="812">
        <v>2700000</v>
      </c>
      <c r="P6" s="812">
        <v>520363</v>
      </c>
      <c r="Q6" s="812">
        <v>680913</v>
      </c>
      <c r="R6" s="812"/>
      <c r="S6" s="812">
        <v>3031592</v>
      </c>
      <c r="T6" s="812"/>
      <c r="U6" s="812">
        <v>40598</v>
      </c>
      <c r="V6" s="812">
        <v>19455</v>
      </c>
      <c r="W6" s="812">
        <v>2686056</v>
      </c>
      <c r="X6" s="812"/>
      <c r="Y6" s="813">
        <f aca="true" t="shared" si="0" ref="Y6:Y14">SUM(B6:X6)</f>
        <v>99851993</v>
      </c>
      <c r="Z6" s="812"/>
      <c r="AA6" s="813">
        <f aca="true" t="shared" si="1" ref="AA6:AA14">Y6+Z6</f>
        <v>99851993</v>
      </c>
    </row>
    <row r="7" spans="1:27" ht="16.5">
      <c r="A7" s="480" t="s">
        <v>345</v>
      </c>
      <c r="B7" s="812"/>
      <c r="C7" s="819"/>
      <c r="D7" s="812"/>
      <c r="E7" s="812">
        <v>543775</v>
      </c>
      <c r="F7" s="812">
        <v>93106</v>
      </c>
      <c r="G7" s="812"/>
      <c r="H7" s="812"/>
      <c r="I7" s="812"/>
      <c r="J7" s="812"/>
      <c r="K7" s="818"/>
      <c r="L7" s="813"/>
      <c r="M7" s="812">
        <v>233524</v>
      </c>
      <c r="N7" s="812"/>
      <c r="O7" s="812"/>
      <c r="P7" s="812"/>
      <c r="Q7" s="812"/>
      <c r="R7" s="812"/>
      <c r="S7" s="812"/>
      <c r="T7" s="812"/>
      <c r="U7" s="812"/>
      <c r="V7" s="812"/>
      <c r="W7" s="812"/>
      <c r="X7" s="812">
        <v>259637</v>
      </c>
      <c r="Y7" s="813">
        <f t="shared" si="0"/>
        <v>1130042</v>
      </c>
      <c r="Z7" s="812"/>
      <c r="AA7" s="813">
        <f t="shared" si="1"/>
        <v>1130042</v>
      </c>
    </row>
    <row r="8" spans="1:27" ht="16.5">
      <c r="A8" s="480" t="s">
        <v>346</v>
      </c>
      <c r="B8" s="812">
        <v>406127</v>
      </c>
      <c r="C8" s="819"/>
      <c r="D8" s="812"/>
      <c r="E8" s="812"/>
      <c r="F8" s="812"/>
      <c r="G8" s="812"/>
      <c r="H8" s="812"/>
      <c r="I8" s="812"/>
      <c r="J8" s="812"/>
      <c r="K8" s="818"/>
      <c r="L8" s="813"/>
      <c r="M8" s="812"/>
      <c r="N8" s="812"/>
      <c r="O8" s="812"/>
      <c r="P8" s="812"/>
      <c r="Q8" s="812"/>
      <c r="R8" s="812"/>
      <c r="S8" s="812"/>
      <c r="T8" s="812"/>
      <c r="U8" s="812"/>
      <c r="V8" s="812"/>
      <c r="W8" s="812"/>
      <c r="X8" s="812"/>
      <c r="Y8" s="813">
        <f t="shared" si="0"/>
        <v>406127</v>
      </c>
      <c r="Z8" s="812">
        <v>62256310</v>
      </c>
      <c r="AA8" s="813">
        <f t="shared" si="1"/>
        <v>62662437</v>
      </c>
    </row>
    <row r="9" spans="1:27" ht="16.5">
      <c r="A9" s="480" t="s">
        <v>347</v>
      </c>
      <c r="B9" s="812"/>
      <c r="C9" s="819"/>
      <c r="D9" s="812"/>
      <c r="E9" s="812"/>
      <c r="F9" s="812"/>
      <c r="G9" s="812"/>
      <c r="H9" s="812"/>
      <c r="I9" s="812"/>
      <c r="J9" s="812"/>
      <c r="K9" s="818"/>
      <c r="L9" s="813"/>
      <c r="M9" s="812"/>
      <c r="N9" s="812"/>
      <c r="O9" s="812"/>
      <c r="P9" s="812"/>
      <c r="Q9" s="812"/>
      <c r="R9" s="812"/>
      <c r="S9" s="812"/>
      <c r="T9" s="812"/>
      <c r="U9" s="812"/>
      <c r="V9" s="812"/>
      <c r="W9" s="812"/>
      <c r="X9" s="812"/>
      <c r="Y9" s="813">
        <f t="shared" si="0"/>
        <v>0</v>
      </c>
      <c r="Z9" s="812"/>
      <c r="AA9" s="813">
        <f t="shared" si="1"/>
        <v>0</v>
      </c>
    </row>
    <row r="10" spans="1:27" ht="16.5">
      <c r="A10" s="480" t="s">
        <v>348</v>
      </c>
      <c r="B10" s="812"/>
      <c r="C10" s="819"/>
      <c r="D10" s="812"/>
      <c r="E10" s="812"/>
      <c r="F10" s="812"/>
      <c r="G10" s="812"/>
      <c r="H10" s="812"/>
      <c r="I10" s="812"/>
      <c r="J10" s="812"/>
      <c r="K10" s="818"/>
      <c r="L10" s="813"/>
      <c r="M10" s="812"/>
      <c r="N10" s="812"/>
      <c r="O10" s="812"/>
      <c r="P10" s="812"/>
      <c r="Q10" s="812"/>
      <c r="R10" s="812"/>
      <c r="S10" s="812"/>
      <c r="T10" s="812"/>
      <c r="U10" s="812"/>
      <c r="V10" s="812"/>
      <c r="W10" s="812"/>
      <c r="X10" s="812"/>
      <c r="Y10" s="813">
        <f t="shared" si="0"/>
        <v>0</v>
      </c>
      <c r="Z10" s="812"/>
      <c r="AA10" s="813">
        <f t="shared" si="1"/>
        <v>0</v>
      </c>
    </row>
    <row r="11" spans="1:27" ht="16.5">
      <c r="A11" s="480" t="s">
        <v>349</v>
      </c>
      <c r="B11" s="812"/>
      <c r="C11" s="819"/>
      <c r="D11" s="812"/>
      <c r="E11" s="812"/>
      <c r="F11" s="812"/>
      <c r="G11" s="812"/>
      <c r="H11" s="812"/>
      <c r="I11" s="812"/>
      <c r="J11" s="812"/>
      <c r="K11" s="818"/>
      <c r="L11" s="813"/>
      <c r="M11" s="812"/>
      <c r="N11" s="812"/>
      <c r="O11" s="812"/>
      <c r="P11" s="812"/>
      <c r="Q11" s="812"/>
      <c r="R11" s="812"/>
      <c r="S11" s="812"/>
      <c r="T11" s="812"/>
      <c r="U11" s="812"/>
      <c r="V11" s="812"/>
      <c r="W11" s="812"/>
      <c r="X11" s="812"/>
      <c r="Y11" s="813">
        <f t="shared" si="0"/>
        <v>0</v>
      </c>
      <c r="Z11" s="812"/>
      <c r="AA11" s="813">
        <f t="shared" si="1"/>
        <v>0</v>
      </c>
    </row>
    <row r="12" spans="1:27" ht="16.5">
      <c r="A12" s="480" t="s">
        <v>350</v>
      </c>
      <c r="B12" s="812">
        <f>150000+346712</f>
        <v>496712</v>
      </c>
      <c r="C12" s="819"/>
      <c r="D12" s="812"/>
      <c r="E12" s="812"/>
      <c r="F12" s="812"/>
      <c r="G12" s="812"/>
      <c r="H12" s="812"/>
      <c r="I12" s="812"/>
      <c r="J12" s="812"/>
      <c r="K12" s="818"/>
      <c r="L12" s="813"/>
      <c r="M12" s="812"/>
      <c r="N12" s="812"/>
      <c r="O12" s="812">
        <v>100000</v>
      </c>
      <c r="P12" s="812"/>
      <c r="Q12" s="812">
        <v>1232131</v>
      </c>
      <c r="R12" s="812"/>
      <c r="S12" s="812"/>
      <c r="T12" s="812"/>
      <c r="U12" s="812">
        <v>4234</v>
      </c>
      <c r="V12" s="812"/>
      <c r="W12" s="812"/>
      <c r="X12" s="812"/>
      <c r="Y12" s="813">
        <f t="shared" si="0"/>
        <v>1833077</v>
      </c>
      <c r="Z12" s="812">
        <v>-6333</v>
      </c>
      <c r="AA12" s="813">
        <f t="shared" si="1"/>
        <v>1826744</v>
      </c>
    </row>
    <row r="13" spans="1:27" ht="16.5">
      <c r="A13" s="480" t="s">
        <v>351</v>
      </c>
      <c r="B13" s="812">
        <v>829266</v>
      </c>
      <c r="C13" s="819"/>
      <c r="D13" s="812"/>
      <c r="E13" s="812">
        <v>90762397</v>
      </c>
      <c r="F13" s="812"/>
      <c r="G13" s="812">
        <v>2051273</v>
      </c>
      <c r="H13" s="812"/>
      <c r="I13" s="812"/>
      <c r="J13" s="812"/>
      <c r="K13" s="818"/>
      <c r="L13" s="813">
        <v>59293970</v>
      </c>
      <c r="M13" s="812">
        <v>36006240</v>
      </c>
      <c r="N13" s="812">
        <v>2386071</v>
      </c>
      <c r="O13" s="812"/>
      <c r="P13" s="812">
        <v>34831445</v>
      </c>
      <c r="Q13" s="812">
        <v>8417257</v>
      </c>
      <c r="R13" s="812"/>
      <c r="S13" s="812"/>
      <c r="T13" s="812"/>
      <c r="U13" s="812">
        <v>90881586</v>
      </c>
      <c r="V13" s="812">
        <v>5466810</v>
      </c>
      <c r="W13" s="812">
        <v>1934157</v>
      </c>
      <c r="X13" s="812">
        <v>1812742</v>
      </c>
      <c r="Y13" s="813">
        <f t="shared" si="0"/>
        <v>334673214</v>
      </c>
      <c r="Z13" s="812"/>
      <c r="AA13" s="813">
        <f t="shared" si="1"/>
        <v>334673214</v>
      </c>
    </row>
    <row r="14" spans="1:27" s="1346" customFormat="1" ht="14.25" thickBot="1">
      <c r="A14" s="1496" t="s">
        <v>54</v>
      </c>
      <c r="B14" s="1497">
        <f aca="true" t="shared" si="2" ref="B14:Z14">SUM(B4:B13)</f>
        <v>4415053</v>
      </c>
      <c r="C14" s="1498">
        <f t="shared" si="2"/>
        <v>8961705</v>
      </c>
      <c r="D14" s="1498">
        <f t="shared" si="2"/>
        <v>0</v>
      </c>
      <c r="E14" s="1498">
        <f t="shared" si="2"/>
        <v>101905722</v>
      </c>
      <c r="F14" s="1498">
        <f t="shared" si="2"/>
        <v>2167548</v>
      </c>
      <c r="G14" s="1498">
        <f t="shared" si="2"/>
        <v>3301273</v>
      </c>
      <c r="H14" s="1498">
        <f t="shared" si="2"/>
        <v>8329217</v>
      </c>
      <c r="I14" s="1498">
        <f t="shared" si="2"/>
        <v>16848478</v>
      </c>
      <c r="J14" s="1498">
        <f t="shared" si="2"/>
        <v>0</v>
      </c>
      <c r="K14" s="1499">
        <f t="shared" si="2"/>
        <v>999996</v>
      </c>
      <c r="L14" s="1496">
        <f t="shared" si="2"/>
        <v>64073690</v>
      </c>
      <c r="M14" s="1497">
        <f t="shared" si="2"/>
        <v>70569644</v>
      </c>
      <c r="N14" s="1498">
        <f t="shared" si="2"/>
        <v>2386071</v>
      </c>
      <c r="O14" s="1498">
        <f t="shared" si="2"/>
        <v>2800000</v>
      </c>
      <c r="P14" s="1498">
        <f t="shared" si="2"/>
        <v>35351808</v>
      </c>
      <c r="Q14" s="1498">
        <f t="shared" si="2"/>
        <v>10589085</v>
      </c>
      <c r="R14" s="1498">
        <f t="shared" si="2"/>
        <v>0</v>
      </c>
      <c r="S14" s="1498">
        <f t="shared" si="2"/>
        <v>3031592</v>
      </c>
      <c r="T14" s="1498">
        <f t="shared" si="2"/>
        <v>0</v>
      </c>
      <c r="U14" s="1498">
        <f t="shared" si="2"/>
        <v>90926418</v>
      </c>
      <c r="V14" s="1498">
        <f t="shared" si="2"/>
        <v>5486265</v>
      </c>
      <c r="W14" s="1498">
        <f t="shared" si="2"/>
        <v>4620213</v>
      </c>
      <c r="X14" s="1498">
        <f t="shared" si="2"/>
        <v>2072379</v>
      </c>
      <c r="Y14" s="1496">
        <f t="shared" si="0"/>
        <v>438836157</v>
      </c>
      <c r="Z14" s="1498">
        <f t="shared" si="2"/>
        <v>62249977</v>
      </c>
      <c r="AA14" s="1496">
        <f t="shared" si="1"/>
        <v>501086134</v>
      </c>
    </row>
  </sheetData>
  <sheetProtection/>
  <mergeCells count="2">
    <mergeCell ref="A2:A3"/>
    <mergeCell ref="A1:AA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AA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H12" sqref="H12"/>
    </sheetView>
  </sheetViews>
  <sheetFormatPr defaultColWidth="9.140625" defaultRowHeight="15"/>
  <cols>
    <col min="1" max="1" width="50.00390625" style="106" bestFit="1" customWidth="1"/>
    <col min="2" max="4" width="10.421875" style="106" bestFit="1" customWidth="1"/>
    <col min="5" max="5" width="10.421875" style="106" customWidth="1"/>
    <col min="6" max="12" width="10.421875" style="106" bestFit="1" customWidth="1"/>
    <col min="13" max="13" width="11.57421875" style="106" bestFit="1" customWidth="1"/>
    <col min="14" max="14" width="10.421875" style="106" customWidth="1"/>
    <col min="15" max="15" width="10.421875" style="106" bestFit="1" customWidth="1"/>
    <col min="16" max="17" width="10.421875" style="106" customWidth="1"/>
    <col min="18" max="18" width="11.00390625" style="106" bestFit="1" customWidth="1"/>
    <col min="19" max="24" width="10.421875" style="106" bestFit="1" customWidth="1"/>
    <col min="25" max="25" width="11.57421875" style="106" bestFit="1" customWidth="1"/>
    <col min="26" max="26" width="10.421875" style="106" customWidth="1"/>
    <col min="27" max="27" width="11.57421875" style="106" bestFit="1" customWidth="1"/>
    <col min="28" max="16384" width="9.140625" style="106" customWidth="1"/>
  </cols>
  <sheetData>
    <row r="1" s="491" customFormat="1" ht="17.25" thickBot="1">
      <c r="A1" s="492" t="s">
        <v>356</v>
      </c>
    </row>
    <row r="2" spans="1:27" ht="129" thickBot="1">
      <c r="A2" s="1668" t="s">
        <v>0</v>
      </c>
      <c r="B2" s="619" t="s">
        <v>163</v>
      </c>
      <c r="C2" s="713" t="s">
        <v>164</v>
      </c>
      <c r="D2" s="713" t="s">
        <v>165</v>
      </c>
      <c r="E2" s="713" t="s">
        <v>166</v>
      </c>
      <c r="F2" s="713" t="s">
        <v>167</v>
      </c>
      <c r="G2" s="713" t="s">
        <v>168</v>
      </c>
      <c r="H2" s="713" t="s">
        <v>446</v>
      </c>
      <c r="I2" s="713" t="s">
        <v>169</v>
      </c>
      <c r="J2" s="713" t="s">
        <v>170</v>
      </c>
      <c r="K2" s="713" t="s">
        <v>171</v>
      </c>
      <c r="L2" s="713" t="s">
        <v>172</v>
      </c>
      <c r="M2" s="713" t="s">
        <v>173</v>
      </c>
      <c r="N2" s="713" t="s">
        <v>526</v>
      </c>
      <c r="O2" s="713" t="s">
        <v>174</v>
      </c>
      <c r="P2" s="713" t="s">
        <v>175</v>
      </c>
      <c r="Q2" s="713" t="s">
        <v>176</v>
      </c>
      <c r="R2" s="713" t="s">
        <v>177</v>
      </c>
      <c r="S2" s="713" t="s">
        <v>178</v>
      </c>
      <c r="T2" s="713" t="s">
        <v>179</v>
      </c>
      <c r="U2" s="713" t="s">
        <v>180</v>
      </c>
      <c r="V2" s="713" t="s">
        <v>181</v>
      </c>
      <c r="W2" s="713" t="s">
        <v>182</v>
      </c>
      <c r="X2" s="713" t="s">
        <v>183</v>
      </c>
      <c r="Y2" s="713" t="s">
        <v>1</v>
      </c>
      <c r="Z2" s="713" t="s">
        <v>184</v>
      </c>
      <c r="AA2" s="713" t="s">
        <v>2</v>
      </c>
    </row>
    <row r="3" spans="1:27" s="531" customFormat="1" ht="31.5" customHeight="1" thickBot="1">
      <c r="A3" s="1669"/>
      <c r="B3" s="620" t="s">
        <v>521</v>
      </c>
      <c r="C3" s="620" t="s">
        <v>521</v>
      </c>
      <c r="D3" s="620" t="s">
        <v>521</v>
      </c>
      <c r="E3" s="620" t="s">
        <v>521</v>
      </c>
      <c r="F3" s="620" t="s">
        <v>521</v>
      </c>
      <c r="G3" s="620" t="s">
        <v>521</v>
      </c>
      <c r="H3" s="620" t="s">
        <v>521</v>
      </c>
      <c r="I3" s="620" t="s">
        <v>521</v>
      </c>
      <c r="J3" s="620" t="s">
        <v>521</v>
      </c>
      <c r="K3" s="620" t="s">
        <v>521</v>
      </c>
      <c r="L3" s="620" t="s">
        <v>521</v>
      </c>
      <c r="M3" s="620" t="s">
        <v>521</v>
      </c>
      <c r="N3" s="620" t="s">
        <v>521</v>
      </c>
      <c r="O3" s="620" t="s">
        <v>521</v>
      </c>
      <c r="P3" s="620" t="s">
        <v>521</v>
      </c>
      <c r="Q3" s="620" t="s">
        <v>521</v>
      </c>
      <c r="R3" s="620" t="s">
        <v>521</v>
      </c>
      <c r="S3" s="620" t="s">
        <v>521</v>
      </c>
      <c r="T3" s="620" t="s">
        <v>521</v>
      </c>
      <c r="U3" s="620" t="s">
        <v>521</v>
      </c>
      <c r="V3" s="620" t="s">
        <v>521</v>
      </c>
      <c r="W3" s="620" t="s">
        <v>521</v>
      </c>
      <c r="X3" s="620" t="s">
        <v>521</v>
      </c>
      <c r="Y3" s="620" t="s">
        <v>521</v>
      </c>
      <c r="Z3" s="620" t="s">
        <v>521</v>
      </c>
      <c r="AA3" s="620" t="s">
        <v>521</v>
      </c>
    </row>
    <row r="4" spans="1:27" ht="18">
      <c r="A4" s="344" t="s">
        <v>352</v>
      </c>
      <c r="B4" s="1062"/>
      <c r="C4" s="481">
        <v>700000</v>
      </c>
      <c r="D4" s="481" t="s">
        <v>364</v>
      </c>
      <c r="E4" s="1062" t="s">
        <v>364</v>
      </c>
      <c r="F4" s="481">
        <v>600000</v>
      </c>
      <c r="G4" s="481" t="s">
        <v>364</v>
      </c>
      <c r="H4" s="1062" t="s">
        <v>364</v>
      </c>
      <c r="I4" s="481" t="s">
        <v>364</v>
      </c>
      <c r="J4" s="481" t="s">
        <v>364</v>
      </c>
      <c r="K4" s="481">
        <v>300000</v>
      </c>
      <c r="L4" s="481">
        <v>6000000</v>
      </c>
      <c r="M4" s="1062">
        <v>12000000</v>
      </c>
      <c r="N4" s="1062" t="s">
        <v>364</v>
      </c>
      <c r="O4" s="481">
        <v>1000000</v>
      </c>
      <c r="P4" s="481" t="s">
        <v>364</v>
      </c>
      <c r="Q4" s="1062"/>
      <c r="R4" s="481" t="s">
        <v>364</v>
      </c>
      <c r="S4" s="481" t="s">
        <v>364</v>
      </c>
      <c r="T4" s="481"/>
      <c r="U4" s="1062" t="s">
        <v>364</v>
      </c>
      <c r="V4" s="1062" t="s">
        <v>364</v>
      </c>
      <c r="W4" s="1063" t="s">
        <v>364</v>
      </c>
      <c r="X4" s="1064" t="s">
        <v>364</v>
      </c>
      <c r="Y4" s="481">
        <f>SUM(B4:X4)</f>
        <v>20600000</v>
      </c>
      <c r="Z4" s="486">
        <v>0</v>
      </c>
      <c r="AA4" s="488">
        <f>SUM(Y4+Z4)</f>
        <v>20600000</v>
      </c>
    </row>
    <row r="5" spans="1:27" ht="16.5">
      <c r="A5" s="345" t="s">
        <v>353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90"/>
      <c r="X5" s="484"/>
      <c r="Y5" s="482"/>
      <c r="Z5" s="487"/>
      <c r="AA5" s="489"/>
    </row>
    <row r="6" spans="1:27" ht="16.5">
      <c r="A6" s="345" t="s">
        <v>354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90"/>
      <c r="X6" s="484"/>
      <c r="Y6" s="482"/>
      <c r="Z6" s="487"/>
      <c r="AA6" s="489"/>
    </row>
    <row r="7" spans="1:27" ht="16.5">
      <c r="A7" s="345" t="s">
        <v>74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90"/>
      <c r="X7" s="484"/>
      <c r="Y7" s="482"/>
      <c r="Z7" s="487"/>
      <c r="AA7" s="489"/>
    </row>
    <row r="8" spans="1:27" s="1503" customFormat="1" ht="14.25" thickBot="1">
      <c r="A8" s="1496" t="s">
        <v>54</v>
      </c>
      <c r="B8" s="1500">
        <f>SUM(B4:B7)</f>
        <v>0</v>
      </c>
      <c r="C8" s="1500">
        <f>SUM(C4:C7)</f>
        <v>700000</v>
      </c>
      <c r="D8" s="1500">
        <f aca="true" t="shared" si="0" ref="D8:M8">SUM(D4:D7)</f>
        <v>0</v>
      </c>
      <c r="E8" s="1500">
        <f t="shared" si="0"/>
        <v>0</v>
      </c>
      <c r="F8" s="1500">
        <f t="shared" si="0"/>
        <v>600000</v>
      </c>
      <c r="G8" s="1500">
        <f t="shared" si="0"/>
        <v>0</v>
      </c>
      <c r="H8" s="1500">
        <f t="shared" si="0"/>
        <v>0</v>
      </c>
      <c r="I8" s="1500">
        <f t="shared" si="0"/>
        <v>0</v>
      </c>
      <c r="J8" s="1500">
        <f t="shared" si="0"/>
        <v>0</v>
      </c>
      <c r="K8" s="1500">
        <f t="shared" si="0"/>
        <v>300000</v>
      </c>
      <c r="L8" s="1500">
        <f t="shared" si="0"/>
        <v>6000000</v>
      </c>
      <c r="M8" s="1500">
        <f t="shared" si="0"/>
        <v>12000000</v>
      </c>
      <c r="N8" s="1500">
        <f aca="true" t="shared" si="1" ref="N8:X8">SUM(N4:N7)</f>
        <v>0</v>
      </c>
      <c r="O8" s="1500">
        <f t="shared" si="1"/>
        <v>1000000</v>
      </c>
      <c r="P8" s="1500">
        <f t="shared" si="1"/>
        <v>0</v>
      </c>
      <c r="Q8" s="1500">
        <f t="shared" si="1"/>
        <v>0</v>
      </c>
      <c r="R8" s="1500">
        <f t="shared" si="1"/>
        <v>0</v>
      </c>
      <c r="S8" s="1500">
        <f t="shared" si="1"/>
        <v>0</v>
      </c>
      <c r="T8" s="1500">
        <f t="shared" si="1"/>
        <v>0</v>
      </c>
      <c r="U8" s="1500">
        <f t="shared" si="1"/>
        <v>0</v>
      </c>
      <c r="V8" s="1500">
        <f t="shared" si="1"/>
        <v>0</v>
      </c>
      <c r="W8" s="1500">
        <f t="shared" si="1"/>
        <v>0</v>
      </c>
      <c r="X8" s="1500">
        <f t="shared" si="1"/>
        <v>0</v>
      </c>
      <c r="Y8" s="1500">
        <f>SUM(B8:X8)</f>
        <v>20600000</v>
      </c>
      <c r="Z8" s="1501">
        <v>0</v>
      </c>
      <c r="AA8" s="1502">
        <f>SUM(Y8+Z8)</f>
        <v>20600000</v>
      </c>
    </row>
  </sheetData>
  <sheetProtection/>
  <mergeCells count="1">
    <mergeCell ref="A2:A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Pande Sandeep</dc:creator>
  <cp:keywords/>
  <dc:description/>
  <cp:lastModifiedBy>Pande Sandeep</cp:lastModifiedBy>
  <cp:lastPrinted>2021-06-25T18:12:07Z</cp:lastPrinted>
  <dcterms:created xsi:type="dcterms:W3CDTF">2019-02-21T06:27:16Z</dcterms:created>
  <dcterms:modified xsi:type="dcterms:W3CDTF">2021-07-02T08:26:26Z</dcterms:modified>
  <cp:category/>
  <cp:version/>
  <cp:contentType/>
  <cp:contentStatus/>
</cp:coreProperties>
</file>